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eter\iCloudDrive\Documents\Sejlsport\DS Stævneleder\"/>
    </mc:Choice>
  </mc:AlternateContent>
  <xr:revisionPtr revIDLastSave="0" documentId="13_ncr:1_{A712989F-B3EB-4EA8-9027-3ED1E98DD61C}" xr6:coauthVersionLast="47" xr6:coauthVersionMax="47" xr10:uidLastSave="{00000000-0000-0000-0000-000000000000}"/>
  <bookViews>
    <workbookView xWindow="0" yWindow="-16320" windowWidth="29040" windowHeight="15720" xr2:uid="{00000000-000D-0000-FFFF-FFFF00000000}"/>
  </bookViews>
  <sheets>
    <sheet name="Budgetoversigt" sheetId="1" r:id="rId1"/>
    <sheet name="Indtægter" sheetId="2" r:id="rId2"/>
    <sheet name="Omkostninger" sheetId="4" r:id="rId3"/>
    <sheet name="Overview" sheetId="5" r:id="rId4"/>
  </sheets>
  <definedNames>
    <definedName name="_xlnm.Print_Area" localSheetId="2">Omkostninger!$A$2:$F$187</definedName>
    <definedName name="_xlnm.Print_Titles" localSheetId="0">Budgetoversigt!$2:$12</definedName>
    <definedName name="_xlnm.Print_Titles" localSheetId="1">Indtægter!$2:$4</definedName>
    <definedName name="_xlnm.Print_Titles" localSheetId="2">Omkostninger!$2:$22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5" l="1"/>
  <c r="I6" i="5"/>
  <c r="H11" i="5"/>
  <c r="H10" i="5"/>
  <c r="H9" i="5"/>
  <c r="H8" i="5"/>
  <c r="H7" i="5"/>
  <c r="H6" i="5"/>
  <c r="H12" i="5" s="1"/>
  <c r="H10" i="1"/>
  <c r="H4" i="1"/>
  <c r="H5" i="1"/>
  <c r="H6" i="1"/>
  <c r="H7" i="1"/>
  <c r="H8" i="1"/>
  <c r="H3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3" i="1"/>
  <c r="H18" i="5" s="1"/>
  <c r="H41" i="1"/>
  <c r="H39" i="1"/>
  <c r="H37" i="1"/>
  <c r="H36" i="1"/>
  <c r="H35" i="1"/>
  <c r="H30" i="1"/>
  <c r="H29" i="1"/>
  <c r="H28" i="1"/>
  <c r="H23" i="1"/>
  <c r="H22" i="1"/>
  <c r="H20" i="1"/>
  <c r="H21" i="1" s="1"/>
  <c r="H19" i="1"/>
  <c r="H18" i="1"/>
  <c r="H16" i="1"/>
  <c r="H15" i="1"/>
  <c r="H14" i="1"/>
  <c r="H17" i="1" s="1"/>
  <c r="H9" i="1"/>
  <c r="E39" i="1"/>
  <c r="E7" i="5"/>
  <c r="E6" i="5"/>
  <c r="I44" i="4"/>
  <c r="E19" i="4"/>
  <c r="H19" i="4" s="1"/>
  <c r="H20" i="4"/>
  <c r="H11" i="4"/>
  <c r="H7" i="4"/>
  <c r="H5" i="4"/>
  <c r="H6" i="4" s="1"/>
  <c r="I35" i="4" s="1"/>
  <c r="H146" i="4"/>
  <c r="H147" i="4" s="1"/>
  <c r="H40" i="1" s="1"/>
  <c r="H107" i="4"/>
  <c r="H109" i="4" s="1"/>
  <c r="H98" i="4"/>
  <c r="H92" i="4"/>
  <c r="H32" i="1" s="1"/>
  <c r="H86" i="4"/>
  <c r="H33" i="1" s="1"/>
  <c r="H76" i="4"/>
  <c r="H72" i="4"/>
  <c r="H68" i="4"/>
  <c r="H64" i="4"/>
  <c r="H60" i="4"/>
  <c r="H45" i="4"/>
  <c r="G69" i="2"/>
  <c r="G65" i="2"/>
  <c r="G61" i="2"/>
  <c r="G62" i="2" s="1"/>
  <c r="G57" i="2"/>
  <c r="G47" i="2"/>
  <c r="G48" i="2" s="1"/>
  <c r="G43" i="2"/>
  <c r="G44" i="2" s="1"/>
  <c r="G37" i="2"/>
  <c r="G33" i="2"/>
  <c r="G34" i="2" s="1"/>
  <c r="G29" i="2"/>
  <c r="G30" i="2" s="1"/>
  <c r="G25" i="2"/>
  <c r="G18" i="2"/>
  <c r="G19" i="2" s="1"/>
  <c r="G14" i="2"/>
  <c r="G15" i="2" s="1"/>
  <c r="G10" i="2"/>
  <c r="G11" i="2" s="1"/>
  <c r="G6" i="2"/>
  <c r="G7" i="2" s="1"/>
  <c r="G81" i="2"/>
  <c r="G70" i="2"/>
  <c r="G66" i="2"/>
  <c r="G58" i="2"/>
  <c r="G38" i="2"/>
  <c r="G26" i="2"/>
  <c r="G21" i="2"/>
  <c r="D28" i="1"/>
  <c r="E28" i="1"/>
  <c r="D29" i="1"/>
  <c r="E29" i="1"/>
  <c r="D31" i="1"/>
  <c r="D32" i="1"/>
  <c r="D33" i="1"/>
  <c r="D34" i="1"/>
  <c r="D35" i="1"/>
  <c r="D36" i="1"/>
  <c r="E36" i="1"/>
  <c r="D37" i="1"/>
  <c r="D38" i="1"/>
  <c r="D40" i="1"/>
  <c r="D41" i="1"/>
  <c r="E41" i="1"/>
  <c r="H185" i="4" l="1"/>
  <c r="H15" i="5"/>
  <c r="H54" i="1"/>
  <c r="H24" i="1"/>
  <c r="H25" i="1"/>
  <c r="H59" i="1"/>
  <c r="H78" i="4"/>
  <c r="H31" i="1" s="1"/>
  <c r="H27" i="4"/>
  <c r="I26" i="4"/>
  <c r="H9" i="4"/>
  <c r="I38" i="4" s="1"/>
  <c r="H24" i="4"/>
  <c r="I23" i="4"/>
  <c r="H10" i="4"/>
  <c r="I29" i="4"/>
  <c r="H8" i="4"/>
  <c r="H48" i="4"/>
  <c r="H105" i="4"/>
  <c r="H143" i="4" s="1"/>
  <c r="H38" i="1" s="1"/>
  <c r="E30" i="1"/>
  <c r="H30" i="4"/>
  <c r="H33" i="4"/>
  <c r="H36" i="4"/>
  <c r="G72" i="2"/>
  <c r="G52" i="2"/>
  <c r="G53" i="2" s="1"/>
  <c r="G22" i="2"/>
  <c r="G40" i="2"/>
  <c r="E37" i="1"/>
  <c r="F44" i="4"/>
  <c r="E107" i="4"/>
  <c r="E146" i="4"/>
  <c r="F26" i="4"/>
  <c r="H19" i="5" l="1"/>
  <c r="H42" i="4"/>
  <c r="H39" i="4"/>
  <c r="G83" i="2"/>
  <c r="E7" i="4"/>
  <c r="E5" i="4"/>
  <c r="E6" i="4" s="1"/>
  <c r="D23" i="1"/>
  <c r="D22" i="1"/>
  <c r="H56" i="4" l="1"/>
  <c r="H34" i="1"/>
  <c r="H42" i="1" s="1"/>
  <c r="D3" i="2"/>
  <c r="G3" i="2" s="1"/>
  <c r="H60" i="1" l="1"/>
  <c r="H62" i="1" s="1"/>
  <c r="H17" i="5"/>
  <c r="H16" i="5"/>
  <c r="H20" i="5" s="1"/>
  <c r="H22" i="5" s="1"/>
  <c r="H186" i="4"/>
  <c r="E43" i="1"/>
  <c r="F18" i="5" s="1"/>
  <c r="D43" i="1"/>
  <c r="E53" i="1"/>
  <c r="E52" i="1"/>
  <c r="E51" i="1"/>
  <c r="E50" i="1"/>
  <c r="E49" i="1"/>
  <c r="E48" i="1"/>
  <c r="E47" i="1"/>
  <c r="E46" i="1"/>
  <c r="E45" i="1"/>
  <c r="E44" i="1"/>
  <c r="E58" i="1"/>
  <c r="E57" i="1"/>
  <c r="E56" i="1"/>
  <c r="E55" i="1"/>
  <c r="D58" i="1"/>
  <c r="D57" i="1"/>
  <c r="D56" i="1"/>
  <c r="D55" i="1"/>
  <c r="D53" i="1"/>
  <c r="D52" i="1"/>
  <c r="D51" i="1"/>
  <c r="D50" i="1"/>
  <c r="D49" i="1"/>
  <c r="D48" i="1"/>
  <c r="D47" i="1"/>
  <c r="D46" i="1"/>
  <c r="D45" i="1"/>
  <c r="D44" i="1"/>
  <c r="D20" i="1"/>
  <c r="D19" i="1"/>
  <c r="D18" i="1"/>
  <c r="D16" i="1"/>
  <c r="D15" i="1"/>
  <c r="D14" i="1"/>
  <c r="E109" i="4"/>
  <c r="E147" i="4"/>
  <c r="D44" i="2"/>
  <c r="E98" i="4"/>
  <c r="E35" i="1" s="1"/>
  <c r="E92" i="4"/>
  <c r="E32" i="1" s="1"/>
  <c r="E86" i="4"/>
  <c r="E33" i="1" s="1"/>
  <c r="E76" i="4"/>
  <c r="E72" i="4"/>
  <c r="E68" i="4"/>
  <c r="E64" i="4"/>
  <c r="E60" i="4"/>
  <c r="E78" i="4" s="1"/>
  <c r="E45" i="4"/>
  <c r="E3" i="4"/>
  <c r="H3" i="4" s="1"/>
  <c r="E40" i="1" l="1"/>
  <c r="E185" i="4"/>
  <c r="F15" i="5"/>
  <c r="E59" i="1"/>
  <c r="E54" i="1"/>
  <c r="E31" i="1"/>
  <c r="E11" i="4"/>
  <c r="F19" i="5" l="1"/>
  <c r="E27" i="4"/>
  <c r="E22" i="1" l="1"/>
  <c r="D81" i="2"/>
  <c r="E16" i="1"/>
  <c r="E15" i="1"/>
  <c r="D70" i="2"/>
  <c r="D66" i="2"/>
  <c r="D62" i="2"/>
  <c r="D58" i="2"/>
  <c r="D48" i="2"/>
  <c r="D38" i="2"/>
  <c r="D34" i="2"/>
  <c r="D30" i="2"/>
  <c r="D26" i="2"/>
  <c r="D21" i="2"/>
  <c r="D19" i="2"/>
  <c r="D15" i="2"/>
  <c r="D11" i="2"/>
  <c r="F7" i="5" s="1"/>
  <c r="D7" i="2"/>
  <c r="F6" i="5" s="1"/>
  <c r="E23" i="1" l="1"/>
  <c r="E24" i="1" s="1"/>
  <c r="F11" i="5"/>
  <c r="E9" i="1"/>
  <c r="D52" i="2"/>
  <c r="D53" i="2" s="1"/>
  <c r="D72" i="2"/>
  <c r="D40" i="2"/>
  <c r="F8" i="5" s="1"/>
  <c r="D22" i="2"/>
  <c r="E18" i="1" s="1"/>
  <c r="E20" i="1" l="1"/>
  <c r="F9" i="5"/>
  <c r="F23" i="4"/>
  <c r="F35" i="4"/>
  <c r="F29" i="4"/>
  <c r="E36" i="4"/>
  <c r="E10" i="4"/>
  <c r="E9" i="4"/>
  <c r="E8" i="4"/>
  <c r="E14" i="1"/>
  <c r="E17" i="1" s="1"/>
  <c r="F10" i="5"/>
  <c r="E105" i="4"/>
  <c r="E143" i="4" s="1"/>
  <c r="E38" i="1" s="1"/>
  <c r="E19" i="1"/>
  <c r="D83" i="2"/>
  <c r="E21" i="1" l="1"/>
  <c r="E25" i="1" s="1"/>
  <c r="F12" i="5"/>
  <c r="F38" i="4"/>
  <c r="E39" i="4"/>
  <c r="E42" i="4"/>
  <c r="E48" i="4"/>
  <c r="E24" i="4"/>
  <c r="E30" i="4"/>
  <c r="E33" i="4"/>
  <c r="E56" i="4" l="1"/>
  <c r="E186" i="4" s="1"/>
  <c r="E34" i="1"/>
  <c r="E42" i="1" s="1"/>
  <c r="F16" i="5"/>
  <c r="E60" i="1" l="1"/>
  <c r="E62" i="1" s="1"/>
  <c r="F17" i="5"/>
  <c r="F20" i="5" s="1"/>
  <c r="F22" i="5" s="1"/>
</calcChain>
</file>

<file path=xl/sharedStrings.xml><?xml version="1.0" encoding="utf-8"?>
<sst xmlns="http://schemas.openxmlformats.org/spreadsheetml/2006/main" count="258" uniqueCount="229">
  <si>
    <t>Stævnenavn</t>
  </si>
  <si>
    <t>Datoer</t>
  </si>
  <si>
    <t>Banetype</t>
  </si>
  <si>
    <t>Antal dage</t>
  </si>
  <si>
    <t>Antal deltagere</t>
  </si>
  <si>
    <t>Station / Havn</t>
  </si>
  <si>
    <t>Stævneleder</t>
  </si>
  <si>
    <t>A Startgebyr pr deltager</t>
  </si>
  <si>
    <t>A Startgebyr i alt</t>
  </si>
  <si>
    <t>B Startgebyr pr deltager</t>
  </si>
  <si>
    <t>B Startgebyr i alt</t>
  </si>
  <si>
    <t>C Startgebyr pr deltager</t>
  </si>
  <si>
    <t>C Startgebyr i alt</t>
  </si>
  <si>
    <t>D Startgebyr pr deltager</t>
  </si>
  <si>
    <t>D Startgebyr i alt</t>
  </si>
  <si>
    <t>Konto</t>
  </si>
  <si>
    <t>Startgebyr i alt</t>
  </si>
  <si>
    <t>Antal tilkøb morgenmad/frokost</t>
  </si>
  <si>
    <t>Pris per tilkøb</t>
  </si>
  <si>
    <t>Tilkøb morgenmad/frokost i alt</t>
  </si>
  <si>
    <t>Antal tilkøb stævnemiddag el.</t>
  </si>
  <si>
    <t>Tilkøb stævnemiddag el. i alt</t>
  </si>
  <si>
    <t>Antal tilkøb andet</t>
  </si>
  <si>
    <t>Tilkøb andet i alt</t>
  </si>
  <si>
    <t>Antal tilkøb med moms</t>
  </si>
  <si>
    <t>Pris per tilkøb med moms</t>
  </si>
  <si>
    <t>Tilkøb med moms i alt</t>
  </si>
  <si>
    <t>Tilkøb i alt uden moms</t>
  </si>
  <si>
    <t>Anden omsætning med moms</t>
  </si>
  <si>
    <t>Momspligtig omsætning i alt</t>
  </si>
  <si>
    <t>Stævnenavn:</t>
  </si>
  <si>
    <t>Antal sponsorater I</t>
  </si>
  <si>
    <t>Sponsorater størrelse I</t>
  </si>
  <si>
    <t>Sponsorater I i alt</t>
  </si>
  <si>
    <t>Antal sponsorater II</t>
  </si>
  <si>
    <t>Sponsorater størrelse II</t>
  </si>
  <si>
    <t>Sponsorater II i alt</t>
  </si>
  <si>
    <t>Antal sponsorater III</t>
  </si>
  <si>
    <t>Sponsorater størrelse III</t>
  </si>
  <si>
    <t>Sponsorater III i alt</t>
  </si>
  <si>
    <t>Antal sponsorater IV</t>
  </si>
  <si>
    <t>Sponsorater størrelse IV</t>
  </si>
  <si>
    <t>Sponsorater IV i alt</t>
  </si>
  <si>
    <t>Sponsorater i alt</t>
  </si>
  <si>
    <t>Donation til stævnet</t>
  </si>
  <si>
    <t>Offentlig tilskud til stævnet</t>
  </si>
  <si>
    <t>Sponsorer og tilskud</t>
  </si>
  <si>
    <t>Deltagerindskud</t>
  </si>
  <si>
    <t>Øvrige indtagter uden moms</t>
  </si>
  <si>
    <t>Øvrige indtagter med moms</t>
  </si>
  <si>
    <t>Øvrige indtagter med moms (Netto u.m.)</t>
  </si>
  <si>
    <t>Indtægter</t>
  </si>
  <si>
    <t>Andre indtægter</t>
  </si>
  <si>
    <t>Indtægter i alt</t>
  </si>
  <si>
    <t>Stævne</t>
  </si>
  <si>
    <t>Deltagerbåde</t>
  </si>
  <si>
    <t>Antal official</t>
  </si>
  <si>
    <t>Havnedage</t>
  </si>
  <si>
    <t>Antal stævnedage</t>
  </si>
  <si>
    <t>Antal ekstradage kun official</t>
  </si>
  <si>
    <t>Særlige VIP forplejning</t>
  </si>
  <si>
    <t>Antal 1. præmier</t>
  </si>
  <si>
    <t>Antal 3. præmier</t>
  </si>
  <si>
    <t>Antal 4. præmier</t>
  </si>
  <si>
    <t>Præmier</t>
  </si>
  <si>
    <t>Strøm</t>
  </si>
  <si>
    <t>Leje dommerbåde / Mærkebåd</t>
  </si>
  <si>
    <t>Leje gummibåde</t>
  </si>
  <si>
    <t>Transport af både</t>
  </si>
  <si>
    <t>Telt</t>
  </si>
  <si>
    <t>Borde og stole</t>
  </si>
  <si>
    <t>Toiletvogne</t>
  </si>
  <si>
    <t>Rengøring</t>
  </si>
  <si>
    <t>Skrældespande</t>
  </si>
  <si>
    <t>Renovation</t>
  </si>
  <si>
    <t>Flagstænger</t>
  </si>
  <si>
    <t>Leje af brandslukningsmateriel</t>
  </si>
  <si>
    <t>Indretning af havn</t>
  </si>
  <si>
    <t>Storskærm</t>
  </si>
  <si>
    <t>Stævneomkostninger</t>
  </si>
  <si>
    <t>Brændstof</t>
  </si>
  <si>
    <t>Antal deltagere til morgenmad/frokost</t>
  </si>
  <si>
    <t>A Antal deltagende både</t>
  </si>
  <si>
    <t>C Antal deltagende både</t>
  </si>
  <si>
    <t>D Antal deltagende både</t>
  </si>
  <si>
    <t>Antal deltagende</t>
  </si>
  <si>
    <t>Antal tilkøb festmiddag el.</t>
  </si>
  <si>
    <t>Tilkøb festmiddag el. i alt</t>
  </si>
  <si>
    <t>Antal deltager til stævnrmiddag</t>
  </si>
  <si>
    <t>Antal deltagere festmiddag</t>
  </si>
  <si>
    <t>Antal deltagere anden tilkøb</t>
  </si>
  <si>
    <t>Antal official per dag til morgenmad/frokost</t>
  </si>
  <si>
    <t>Antal official til stævnemiddag</t>
  </si>
  <si>
    <t>Antal official til festmiddag</t>
  </si>
  <si>
    <t>Antal VIP deltagere</t>
  </si>
  <si>
    <t xml:space="preserve">Antal Familier/pårørende </t>
  </si>
  <si>
    <t>Omk. Morgenmad og frokost official</t>
  </si>
  <si>
    <t>Official morgenmad, frokost, drikkelse, omk. Per person, per dag</t>
  </si>
  <si>
    <t>Omk. Morgenmad</t>
  </si>
  <si>
    <t>Kun frokost, deltagere og official, omk. Per person, per dag</t>
  </si>
  <si>
    <t xml:space="preserve">Omk. Frokost </t>
  </si>
  <si>
    <t xml:space="preserve">Omk. Openingcermoni </t>
  </si>
  <si>
    <t xml:space="preserve">Opening cermony omk. Per deltagere, pårørende, official og VIP </t>
  </si>
  <si>
    <t>After sail/Moleøl, Pølser mm m. det hele, omk. per person, per dag</t>
  </si>
  <si>
    <t>Omk. After sail Moleøl, Pølser m. det hele</t>
  </si>
  <si>
    <t>Omk. Særlige VIP forplejning</t>
  </si>
  <si>
    <t>Stævnemiddag I omk. Per deltager, official</t>
  </si>
  <si>
    <t>Omk. Stævnemiddag I</t>
  </si>
  <si>
    <t>Stævnemiddag II omk. Per deltager, official</t>
  </si>
  <si>
    <t>Omk. Stævnemiddag II</t>
  </si>
  <si>
    <t>Præmieoverrækkelse, øl, vin, vand chips ol per official og deltagere</t>
  </si>
  <si>
    <t>Omk. Præmieoverrækklse</t>
  </si>
  <si>
    <t>Omk. Til anden særskildt forplejning</t>
  </si>
  <si>
    <t>Omk. Til særlige forplejningsomkostninger, slip, kage ol.</t>
  </si>
  <si>
    <t>Omk. VIN / Drikkelse udover tidligere budgeret</t>
  </si>
  <si>
    <t>Omkostninger til forplejning mm i alt</t>
  </si>
  <si>
    <t>Omk. Spicial præmier</t>
  </si>
  <si>
    <t>Værdi per 1. præmie</t>
  </si>
  <si>
    <t>Omk. 1. præmier</t>
  </si>
  <si>
    <t>Antal 2. præmier</t>
  </si>
  <si>
    <t>Værdi per 2 præmie</t>
  </si>
  <si>
    <t>Omk. 2. præmier</t>
  </si>
  <si>
    <t>Værdi per 3. præmie</t>
  </si>
  <si>
    <t>Omk. 3. præmier</t>
  </si>
  <si>
    <t>Værdi per 4. præmie</t>
  </si>
  <si>
    <t>Omk. 4. præmier</t>
  </si>
  <si>
    <t>Rejseomkostninger til Umpier, dommere, baneledere mf., samlet i alt</t>
  </si>
  <si>
    <t>Indkvartering til Umpier, dommere, baneledere mf., samlet i alt</t>
  </si>
  <si>
    <t>Opmænd, Umpier, ISAF mm</t>
  </si>
  <si>
    <t>Skud, horn, signalering mm</t>
  </si>
  <si>
    <t>Bøjer, tovværk, bane flag og ander banemateriel</t>
  </si>
  <si>
    <t>Banematriel mm samlet</t>
  </si>
  <si>
    <t>Underholdning, samlet under hele stævnet</t>
  </si>
  <si>
    <t>VIP arrangementer i forbindelse med stævnet</t>
  </si>
  <si>
    <t>Havnepenge per dag per båd</t>
  </si>
  <si>
    <t xml:space="preserve">Omk. Til havnepenge </t>
  </si>
  <si>
    <t>Underholdning, musik ol</t>
  </si>
  <si>
    <t>Leje højtaler, Mixer, Lys ol</t>
  </si>
  <si>
    <t>Tracking</t>
  </si>
  <si>
    <t>Stævne- og arranngementsomkostninger</t>
  </si>
  <si>
    <t>Andet eller "buffer" mm.</t>
  </si>
  <si>
    <t>Markedsføring, tryksager ol</t>
  </si>
  <si>
    <t>Blomster, planter, rull-up, beachflag ol.</t>
  </si>
  <si>
    <t>Vedligehold af materiel, både, trailere mm</t>
  </si>
  <si>
    <t>Telefon og evt. taletidskort ol.</t>
  </si>
  <si>
    <t xml:space="preserve">Porto </t>
  </si>
  <si>
    <t>IT- programmer &amp; udstyr, herunder licenser</t>
  </si>
  <si>
    <t>Tilladelser</t>
  </si>
  <si>
    <t>Gebyrer til banker mm</t>
  </si>
  <si>
    <t>Udvikling og vedligeholdelse af hjemmesider</t>
  </si>
  <si>
    <t>Kursuser og uddannelse</t>
  </si>
  <si>
    <t>Transport, rejser og diæter mm</t>
  </si>
  <si>
    <t>Gaver, blomster, udmærkelser</t>
  </si>
  <si>
    <t>Pris per polo med moms</t>
  </si>
  <si>
    <t>Antal Poloer ol. med moms</t>
  </si>
  <si>
    <t xml:space="preserve">Antal Poloer ol. Til videresalg, </t>
  </si>
  <si>
    <t xml:space="preserve">Pris per Polo ol. Til videresalg, </t>
  </si>
  <si>
    <t>Poloer ol. Til viideresalg</t>
  </si>
  <si>
    <t>2255-2260</t>
  </si>
  <si>
    <t>Antal Poloer ol. Til official</t>
  </si>
  <si>
    <t>Pris per Polo ol. Til official</t>
  </si>
  <si>
    <t>Poloer ol. Til official</t>
  </si>
  <si>
    <t>Kopi, trykning, kontorartikler og udstyr</t>
  </si>
  <si>
    <t>Forberedelsesmøde og udvalgsmøder</t>
  </si>
  <si>
    <t>Honorarer til eksterne konsulenter på fakturaer,</t>
  </si>
  <si>
    <t>Omkostninger</t>
  </si>
  <si>
    <t>Honorarer til konsulenter</t>
  </si>
  <si>
    <t>Løn til ansatte</t>
  </si>
  <si>
    <t>Personale</t>
  </si>
  <si>
    <t>Præmier og gaver</t>
  </si>
  <si>
    <t>Bane udgifter</t>
  </si>
  <si>
    <t>Opmænd/ISAF m.v.</t>
  </si>
  <si>
    <t>Forplejning, stævner</t>
  </si>
  <si>
    <t>Underholdning</t>
  </si>
  <si>
    <t>VIP arrangementer</t>
  </si>
  <si>
    <t>Presse / Markedsføring</t>
  </si>
  <si>
    <t>Øvrige stævneomk.</t>
  </si>
  <si>
    <t>Øvrige omk. Arrangementer mm</t>
  </si>
  <si>
    <t>Renovation mm</t>
  </si>
  <si>
    <t>Vedligeholdelse materiel mm</t>
  </si>
  <si>
    <t>Kontorartikler</t>
  </si>
  <si>
    <t>Telefon</t>
  </si>
  <si>
    <t>Porto</t>
  </si>
  <si>
    <t>IT-programmer og udstyr</t>
  </si>
  <si>
    <t>Gebyrer</t>
  </si>
  <si>
    <t>Andre udg. Vedr. Sekretariat</t>
  </si>
  <si>
    <t>Udvikling og vedligeh. Hjemmeside</t>
  </si>
  <si>
    <t>Sekretariat</t>
  </si>
  <si>
    <t>Kurser, uddannelse og undervisning</t>
  </si>
  <si>
    <t>Øvrige udgifter</t>
  </si>
  <si>
    <t>Omkostninger i alt</t>
  </si>
  <si>
    <t>Resultat i alt</t>
  </si>
  <si>
    <t>Markedsføring</t>
  </si>
  <si>
    <t>Båd/jolletyper</t>
  </si>
  <si>
    <t>Peter Falck</t>
  </si>
  <si>
    <t>22 - 27/7 2024</t>
  </si>
  <si>
    <t>B Antal deltagende både [COACH både]</t>
  </si>
  <si>
    <t>Antal Coach bådfe</t>
  </si>
  <si>
    <t>ANTAL</t>
  </si>
  <si>
    <t>Kun morgenmad, deltagere og træner, omk. Per person, per dag</t>
  </si>
  <si>
    <t>Antal Special præmier</t>
  </si>
  <si>
    <t>Værdi per Special præmie</t>
  </si>
  <si>
    <t>Jury</t>
  </si>
  <si>
    <t>Anden indtægt</t>
  </si>
  <si>
    <t>Salg af effekter</t>
  </si>
  <si>
    <t>Udgifter</t>
  </si>
  <si>
    <t>Stævneforplejning</t>
  </si>
  <si>
    <t>Markedsføring mm.</t>
  </si>
  <si>
    <t>Andre omkostninger</t>
  </si>
  <si>
    <t>Resultat</t>
  </si>
  <si>
    <t>Stævne indtægter (middag mm)</t>
  </si>
  <si>
    <t>Sponsorater/Funds</t>
  </si>
  <si>
    <t>Stævne ABC</t>
  </si>
  <si>
    <t>Vinterbyøster Havn</t>
  </si>
  <si>
    <t>Kølbåd</t>
  </si>
  <si>
    <t>Op/Ned</t>
  </si>
  <si>
    <t>Sekretatiat - Klubben</t>
  </si>
  <si>
    <t>Løn, lønandel til klubbnes fastansatte, inkl. Feripenge ol.</t>
  </si>
  <si>
    <t>Andre omk. til World Sailing, Umpier, dommere, baneledere mf., samlet i alt</t>
  </si>
  <si>
    <t>Momspligtig oms. i alt uden moms</t>
  </si>
  <si>
    <t>Budget</t>
  </si>
  <si>
    <t>Realiseret</t>
  </si>
  <si>
    <t>Antal deltagere                                                besætning=</t>
  </si>
  <si>
    <t>Presse / markedsf. i forbindelse med stævnet</t>
  </si>
  <si>
    <t>Øvrige indtægter uden moms</t>
  </si>
  <si>
    <t>Øvrige indtægter med moms (Netto u.m.)</t>
  </si>
  <si>
    <t>Gaver, blomster og udmærkelser</t>
  </si>
  <si>
    <t>Buffer andre udgifter</t>
  </si>
  <si>
    <t>Udvalgs- og forberedelsesmøder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</si>
</sst>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#,##0\ &quot;kr.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theme="0" tint="-0.499984740745262"/>
      <name val="Verdana"/>
      <family val="2"/>
    </font>
    <font>
      <b/>
      <u/>
      <sz val="11"/>
      <color theme="1"/>
      <name val="Verdana"/>
      <family val="2"/>
    </font>
    <font>
      <sz val="11"/>
      <color theme="0"/>
      <name val="Verdana"/>
      <family val="2"/>
    </font>
    <font>
      <b/>
      <u/>
      <sz val="11"/>
      <color theme="0"/>
      <name val="Verdana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1" fontId="2" fillId="3" borderId="0" xfId="0" applyNumberFormat="1" applyFont="1" applyFill="1"/>
    <xf numFmtId="0" fontId="2" fillId="2" borderId="0" xfId="0" applyFont="1" applyFill="1"/>
    <xf numFmtId="0" fontId="2" fillId="0" borderId="0" xfId="0" applyFont="1" applyAlignment="1" applyProtection="1">
      <alignment horizontal="center"/>
      <protection locked="0"/>
    </xf>
    <xf numFmtId="164" fontId="2" fillId="0" borderId="0" xfId="1" applyFont="1" applyProtection="1">
      <protection locked="0"/>
    </xf>
    <xf numFmtId="166" fontId="2" fillId="0" borderId="0" xfId="0" applyNumberFormat="1" applyFont="1" applyProtection="1">
      <protection locked="0"/>
    </xf>
    <xf numFmtId="165" fontId="5" fillId="0" borderId="0" xfId="1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165" fontId="5" fillId="4" borderId="0" xfId="1" applyNumberFormat="1" applyFont="1" applyFill="1" applyProtection="1"/>
    <xf numFmtId="3" fontId="5" fillId="3" borderId="2" xfId="0" applyNumberFormat="1" applyFont="1" applyFill="1" applyBorder="1"/>
    <xf numFmtId="3" fontId="5" fillId="3" borderId="3" xfId="0" applyNumberFormat="1" applyFont="1" applyFill="1" applyBorder="1"/>
    <xf numFmtId="3" fontId="4" fillId="3" borderId="3" xfId="0" applyNumberFormat="1" applyFont="1" applyFill="1" applyBorder="1"/>
    <xf numFmtId="3" fontId="2" fillId="2" borderId="0" xfId="0" applyNumberFormat="1" applyFont="1" applyFill="1"/>
    <xf numFmtId="0" fontId="5" fillId="5" borderId="1" xfId="0" applyFont="1" applyFill="1" applyBorder="1"/>
    <xf numFmtId="166" fontId="5" fillId="5" borderId="1" xfId="0" applyNumberFormat="1" applyFont="1" applyFill="1" applyBorder="1"/>
    <xf numFmtId="166" fontId="2" fillId="2" borderId="0" xfId="0" applyNumberFormat="1" applyFont="1" applyFill="1"/>
    <xf numFmtId="0" fontId="6" fillId="2" borderId="0" xfId="0" applyFont="1" applyFill="1" applyAlignment="1">
      <alignment vertical="center"/>
    </xf>
    <xf numFmtId="3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2" borderId="0" xfId="0" applyFont="1" applyFill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5" fillId="5" borderId="1" xfId="0" applyNumberFormat="1" applyFont="1" applyFill="1" applyBorder="1" applyAlignment="1" applyProtection="1">
      <alignment horizontal="right"/>
      <protection locked="0"/>
    </xf>
    <xf numFmtId="3" fontId="5" fillId="5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9" fillId="4" borderId="0" xfId="0" applyFont="1" applyFill="1"/>
    <xf numFmtId="0" fontId="10" fillId="4" borderId="0" xfId="0" applyFont="1" applyFill="1" applyAlignment="1">
      <alignment horizontal="center" vertical="center"/>
    </xf>
    <xf numFmtId="3" fontId="2" fillId="0" borderId="0" xfId="0" applyNumberFormat="1" applyFont="1" applyProtection="1">
      <protection locked="0"/>
    </xf>
    <xf numFmtId="3" fontId="5" fillId="0" borderId="0" xfId="0" applyNumberFormat="1" applyFont="1" applyProtection="1">
      <protection locked="0"/>
    </xf>
    <xf numFmtId="3" fontId="5" fillId="2" borderId="0" xfId="0" applyNumberFormat="1" applyFont="1" applyFill="1"/>
    <xf numFmtId="3" fontId="5" fillId="5" borderId="1" xfId="0" applyNumberFormat="1" applyFont="1" applyFill="1" applyBorder="1"/>
    <xf numFmtId="165" fontId="9" fillId="4" borderId="0" xfId="1" applyNumberFormat="1" applyFont="1" applyFill="1" applyProtection="1"/>
    <xf numFmtId="164" fontId="9" fillId="4" borderId="0" xfId="1" applyFont="1" applyFill="1" applyProtection="1"/>
    <xf numFmtId="0" fontId="11" fillId="6" borderId="0" xfId="0" applyFont="1" applyFill="1" applyAlignment="1">
      <alignment horizontal="left"/>
    </xf>
    <xf numFmtId="0" fontId="12" fillId="6" borderId="0" xfId="0" applyFont="1" applyFill="1"/>
    <xf numFmtId="0" fontId="12" fillId="6" borderId="1" xfId="0" applyFont="1" applyFill="1" applyBorder="1"/>
    <xf numFmtId="0" fontId="12" fillId="6" borderId="1" xfId="0" applyFont="1" applyFill="1" applyBorder="1" applyAlignment="1">
      <alignment horizontal="right"/>
    </xf>
    <xf numFmtId="0" fontId="0" fillId="6" borderId="0" xfId="0" applyFill="1"/>
    <xf numFmtId="0" fontId="0" fillId="6" borderId="1" xfId="0" applyFill="1" applyBorder="1"/>
    <xf numFmtId="167" fontId="12" fillId="6" borderId="1" xfId="0" applyNumberFormat="1" applyFont="1" applyFill="1" applyBorder="1"/>
    <xf numFmtId="0" fontId="13" fillId="6" borderId="1" xfId="0" applyFont="1" applyFill="1" applyBorder="1" applyAlignment="1">
      <alignment horizontal="right"/>
    </xf>
    <xf numFmtId="167" fontId="13" fillId="6" borderId="1" xfId="0" applyNumberFormat="1" applyFont="1" applyFill="1" applyBorder="1"/>
    <xf numFmtId="167" fontId="13" fillId="6" borderId="3" xfId="0" applyNumberFormat="1" applyFont="1" applyFill="1" applyBorder="1"/>
    <xf numFmtId="0" fontId="7" fillId="7" borderId="0" xfId="0" applyFont="1" applyFill="1"/>
    <xf numFmtId="0" fontId="2" fillId="7" borderId="0" xfId="0" applyFont="1" applyFill="1"/>
    <xf numFmtId="0" fontId="8" fillId="7" borderId="0" xfId="0" applyFont="1" applyFill="1" applyAlignment="1">
      <alignment horizontal="center"/>
    </xf>
    <xf numFmtId="0" fontId="4" fillId="7" borderId="0" xfId="0" applyFont="1" applyFill="1"/>
    <xf numFmtId="0" fontId="2" fillId="7" borderId="0" xfId="0" applyFont="1" applyFill="1" applyAlignment="1">
      <alignment horizontal="center"/>
    </xf>
    <xf numFmtId="0" fontId="5" fillId="7" borderId="0" xfId="0" applyFont="1" applyFill="1"/>
    <xf numFmtId="1" fontId="2" fillId="7" borderId="0" xfId="0" applyNumberFormat="1" applyFont="1" applyFill="1"/>
    <xf numFmtId="0" fontId="2" fillId="7" borderId="0" xfId="0" applyFont="1" applyFill="1" applyAlignment="1">
      <alignment horizontal="right"/>
    </xf>
    <xf numFmtId="0" fontId="2" fillId="7" borderId="0" xfId="0" applyFont="1" applyFill="1" applyProtection="1">
      <protection locked="0"/>
    </xf>
    <xf numFmtId="3" fontId="2" fillId="7" borderId="0" xfId="0" applyNumberFormat="1" applyFont="1" applyFill="1"/>
    <xf numFmtId="49" fontId="2" fillId="7" borderId="0" xfId="0" applyNumberFormat="1" applyFont="1" applyFill="1"/>
    <xf numFmtId="49" fontId="6" fillId="7" borderId="0" xfId="0" applyNumberFormat="1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164" fontId="2" fillId="7" borderId="0" xfId="1" applyFont="1" applyFill="1" applyProtection="1"/>
    <xf numFmtId="49" fontId="2" fillId="7" borderId="0" xfId="1" applyNumberFormat="1" applyFont="1" applyFill="1" applyProtection="1"/>
    <xf numFmtId="164" fontId="2" fillId="7" borderId="0" xfId="1" applyFont="1" applyFill="1" applyAlignment="1" applyProtection="1">
      <alignment horizontal="center"/>
    </xf>
    <xf numFmtId="165" fontId="5" fillId="7" borderId="0" xfId="1" applyNumberFormat="1" applyFont="1" applyFill="1" applyProtection="1"/>
    <xf numFmtId="49" fontId="5" fillId="7" borderId="0" xfId="0" applyNumberFormat="1" applyFont="1" applyFill="1"/>
    <xf numFmtId="0" fontId="5" fillId="7" borderId="0" xfId="0" applyFont="1" applyFill="1" applyAlignment="1">
      <alignment horizont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right"/>
      <protection locked="0"/>
    </xf>
    <xf numFmtId="0" fontId="5" fillId="5" borderId="1" xfId="0" applyFont="1" applyFill="1" applyBorder="1" applyAlignment="1">
      <alignment horizontal="center"/>
    </xf>
    <xf numFmtId="0" fontId="4" fillId="5" borderId="3" xfId="0" applyFont="1" applyFill="1" applyBorder="1"/>
    <xf numFmtId="0" fontId="5" fillId="5" borderId="3" xfId="0" applyFont="1" applyFill="1" applyBorder="1" applyAlignment="1">
      <alignment horizontal="center"/>
    </xf>
    <xf numFmtId="49" fontId="5" fillId="5" borderId="1" xfId="0" applyNumberFormat="1" applyFont="1" applyFill="1" applyBorder="1"/>
    <xf numFmtId="49" fontId="5" fillId="5" borderId="1" xfId="1" applyNumberFormat="1" applyFont="1" applyFill="1" applyBorder="1" applyProtection="1"/>
    <xf numFmtId="165" fontId="5" fillId="5" borderId="1" xfId="1" applyNumberFormat="1" applyFont="1" applyFill="1" applyBorder="1" applyProtection="1"/>
    <xf numFmtId="0" fontId="11" fillId="6" borderId="0" xfId="0" applyFont="1" applyFill="1" applyAlignment="1">
      <alignment horizontal="left"/>
    </xf>
    <xf numFmtId="0" fontId="11" fillId="6" borderId="3" xfId="0" applyFont="1" applyFill="1" applyBorder="1" applyAlignment="1">
      <alignment horizontal="left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center"/>
      <protection locked="0"/>
    </xf>
    <xf numFmtId="3" fontId="2" fillId="7" borderId="0" xfId="0" applyNumberFormat="1" applyFont="1" applyFill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3" fontId="5" fillId="3" borderId="1" xfId="0" applyNumberFormat="1" applyFont="1" applyFill="1" applyBorder="1"/>
    <xf numFmtId="1" fontId="5" fillId="3" borderId="1" xfId="0" applyNumberFormat="1" applyFont="1" applyFill="1" applyBorder="1"/>
    <xf numFmtId="0" fontId="4" fillId="3" borderId="3" xfId="0" applyFont="1" applyFill="1" applyBorder="1"/>
    <xf numFmtId="0" fontId="4" fillId="5" borderId="4" xfId="0" applyFont="1" applyFill="1" applyBorder="1"/>
    <xf numFmtId="0" fontId="5" fillId="5" borderId="4" xfId="0" applyFont="1" applyFill="1" applyBorder="1" applyAlignment="1">
      <alignment horizontal="center"/>
    </xf>
    <xf numFmtId="3" fontId="5" fillId="5" borderId="4" xfId="0" applyNumberFormat="1" applyFont="1" applyFill="1" applyBorder="1"/>
    <xf numFmtId="0" fontId="4" fillId="5" borderId="1" xfId="0" applyFont="1" applyFill="1" applyBorder="1"/>
    <xf numFmtId="0" fontId="2" fillId="2" borderId="0" xfId="0" applyFont="1" applyFill="1" applyProtection="1">
      <protection locked="0"/>
    </xf>
    <xf numFmtId="0" fontId="13" fillId="6" borderId="0" xfId="0" applyFont="1" applyFill="1"/>
    <xf numFmtId="0" fontId="5" fillId="6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1" fontId="5" fillId="6" borderId="1" xfId="1" applyNumberFormat="1" applyFont="1" applyFill="1" applyBorder="1" applyAlignment="1" applyProtection="1">
      <alignment horizontal="center"/>
    </xf>
    <xf numFmtId="0" fontId="5" fillId="6" borderId="1" xfId="0" quotePrefix="1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0" fillId="8" borderId="0" xfId="0" applyFill="1"/>
  </cellXfs>
  <cellStyles count="2">
    <cellStyle name="Komma" xfId="1" builtinId="3"/>
    <cellStyle name="Normal" xfId="0" builtinId="0"/>
  </cellStyles>
  <dxfs count="4">
    <dxf>
      <font>
        <b/>
        <i val="0"/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254561</xdr:colOff>
      <xdr:row>2</xdr:row>
      <xdr:rowOff>0</xdr:rowOff>
    </xdr:from>
    <xdr:to>
      <xdr:col>17</xdr:col>
      <xdr:colOff>616324</xdr:colOff>
      <xdr:row>9</xdr:row>
      <xdr:rowOff>126439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C4FC14E6-A5FD-F1AD-A4EE-FA339335CC08}"/>
            </a:ext>
          </a:extLst>
        </xdr:cNvPr>
        <xdr:cNvSpPr txBox="1"/>
      </xdr:nvSpPr>
      <xdr:spPr>
        <a:xfrm>
          <a:off x="11460443" y="392206"/>
          <a:ext cx="4832910" cy="1303057"/>
        </a:xfrm>
        <a:prstGeom prst="rect">
          <a:avLst/>
        </a:prstGeom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da-DK" sz="1400" u="sng">
              <a:solidFill>
                <a:srgbClr val="00B050"/>
              </a:solidFill>
              <a:latin typeface="Verdana" panose="020B0604030504040204" pitchFamily="34" charset="0"/>
              <a:ea typeface="Verdana" panose="020B0604030504040204" pitchFamily="34" charset="0"/>
            </a:rPr>
            <a:t>Indtast kun i de hvide felter i kolonne E &lt;Budget&gt;</a:t>
          </a:r>
        </a:p>
        <a:p>
          <a:endParaRPr lang="da-DK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De øvrige felter bliver automatisk</a:t>
          </a:r>
          <a:r>
            <a:rPr lang="da-DK" sz="1400" baseline="0">
              <a:latin typeface="Verdana" panose="020B0604030504040204" pitchFamily="34" charset="0"/>
              <a:ea typeface="Verdana" panose="020B0604030504040204" pitchFamily="34" charset="0"/>
            </a:rPr>
            <a:t> udfyldt når arkene </a:t>
          </a:r>
          <a:r>
            <a:rPr lang="da-DK" sz="1400" b="1" baseline="0">
              <a:latin typeface="Verdana" panose="020B0604030504040204" pitchFamily="34" charset="0"/>
              <a:ea typeface="Verdana" panose="020B0604030504040204" pitchFamily="34" charset="0"/>
            </a:rPr>
            <a:t>Indtægter</a:t>
          </a:r>
          <a:r>
            <a:rPr lang="da-DK" sz="1400" baseline="0">
              <a:latin typeface="Verdana" panose="020B0604030504040204" pitchFamily="34" charset="0"/>
              <a:ea typeface="Verdana" panose="020B0604030504040204" pitchFamily="34" charset="0"/>
            </a:rPr>
            <a:t> og </a:t>
          </a:r>
          <a:r>
            <a:rPr lang="da-DK" sz="1400" b="1" baseline="0">
              <a:latin typeface="Verdana" panose="020B0604030504040204" pitchFamily="34" charset="0"/>
              <a:ea typeface="Verdana" panose="020B0604030504040204" pitchFamily="34" charset="0"/>
            </a:rPr>
            <a:t>Omkostninger</a:t>
          </a:r>
          <a:r>
            <a:rPr lang="da-DK" sz="1400" baseline="0">
              <a:latin typeface="Verdana" panose="020B0604030504040204" pitchFamily="34" charset="0"/>
              <a:ea typeface="Verdana" panose="020B0604030504040204" pitchFamily="34" charset="0"/>
            </a:rPr>
            <a:t> er udfyldt.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53975</xdr:colOff>
      <xdr:row>0</xdr:row>
      <xdr:rowOff>50799</xdr:rowOff>
    </xdr:from>
    <xdr:to>
      <xdr:col>14</xdr:col>
      <xdr:colOff>57150</xdr:colOff>
      <xdr:row>3</xdr:row>
      <xdr:rowOff>19049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2A2F42D-1302-193D-8F85-843FC2E21B0F}"/>
            </a:ext>
          </a:extLst>
        </xdr:cNvPr>
        <xdr:cNvSpPr txBox="1"/>
      </xdr:nvSpPr>
      <xdr:spPr>
        <a:xfrm>
          <a:off x="11912600" y="50799"/>
          <a:ext cx="3832225" cy="530225"/>
        </a:xfrm>
        <a:prstGeom prst="rect">
          <a:avLst/>
        </a:prstGeom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da-DK" sz="1400">
              <a:latin typeface="Verdana" panose="020B0604030504040204" pitchFamily="34" charset="0"/>
              <a:ea typeface="Verdana" panose="020B0604030504040204" pitchFamily="34" charset="0"/>
            </a:rPr>
            <a:t>Udfyld kun de hvide felter</a:t>
          </a:r>
        </a:p>
        <a:p>
          <a:pPr algn="ctr"/>
          <a:r>
            <a:rPr lang="da-DK" sz="1000">
              <a:latin typeface="Verdana" panose="020B0604030504040204" pitchFamily="34" charset="0"/>
              <a:ea typeface="Verdana" panose="020B0604030504040204" pitchFamily="34" charset="0"/>
            </a:rPr>
            <a:t>(når bogføringskonto</a:t>
          </a:r>
          <a:r>
            <a:rPr lang="da-DK" sz="1000" baseline="0">
              <a:latin typeface="Verdana" panose="020B0604030504040204" pitchFamily="34" charset="0"/>
              <a:ea typeface="Verdana" panose="020B0604030504040204" pitchFamily="34" charset="0"/>
            </a:rPr>
            <a:t> er udfyldt kan man gøre dem grå)</a:t>
          </a:r>
          <a:endParaRPr lang="da-DK" sz="10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302543</xdr:colOff>
      <xdr:row>3</xdr:row>
      <xdr:rowOff>67235</xdr:rowOff>
    </xdr:from>
    <xdr:to>
      <xdr:col>17</xdr:col>
      <xdr:colOff>217307</xdr:colOff>
      <xdr:row>8</xdr:row>
      <xdr:rowOff>162794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FBEF4174-98BE-49C0-51C1-61E3F464AD0C}"/>
            </a:ext>
          </a:extLst>
        </xdr:cNvPr>
        <xdr:cNvSpPr txBox="1"/>
      </xdr:nvSpPr>
      <xdr:spPr>
        <a:xfrm>
          <a:off x="15486514" y="661147"/>
          <a:ext cx="3747175" cy="936000"/>
        </a:xfrm>
        <a:prstGeom prst="rect">
          <a:avLst/>
        </a:prstGeom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da-DK" sz="1800">
              <a:latin typeface="Verdana" panose="020B0604030504040204" pitchFamily="34" charset="0"/>
              <a:ea typeface="Verdana" panose="020B0604030504040204" pitchFamily="34" charset="0"/>
            </a:rPr>
            <a:t>Udfyld kun de hvide felter</a:t>
          </a:r>
        </a:p>
        <a:p>
          <a:pPr algn="l"/>
          <a:r>
            <a:rPr lang="da-DK" sz="1000">
              <a:latin typeface="Verdana" panose="020B0604030504040204" pitchFamily="34" charset="0"/>
              <a:ea typeface="Verdana" panose="020B0604030504040204" pitchFamily="34" charset="0"/>
            </a:rPr>
            <a:t>(når bogføringskonto er udfyld kan man gøre feltet grå)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zoomScale="85" zoomScaleNormal="85" workbookViewId="0">
      <pane ySplit="12" topLeftCell="A13" activePane="bottomLeft" state="frozen"/>
      <selection pane="bottomLeft" activeCell="E3" sqref="E3"/>
    </sheetView>
  </sheetViews>
  <sheetFormatPr defaultColWidth="9.1796875" defaultRowHeight="13.5" x14ac:dyDescent="0.25"/>
  <cols>
    <col min="1" max="1" width="2.1796875" style="1" customWidth="1"/>
    <col min="2" max="2" width="39.453125" style="1" customWidth="1"/>
    <col min="3" max="3" width="6.453125" style="1" customWidth="1"/>
    <col min="4" max="4" width="8.1796875" style="1" customWidth="1"/>
    <col min="5" max="5" width="37.7265625" style="1" bestFit="1" customWidth="1"/>
    <col min="6" max="6" width="3.1796875" style="1" customWidth="1"/>
    <col min="7" max="7" width="5.6328125" style="1" customWidth="1"/>
    <col min="8" max="8" width="37.7265625" style="1" bestFit="1" customWidth="1"/>
    <col min="9" max="9" width="10.7265625" style="1" bestFit="1" customWidth="1"/>
    <col min="10" max="16384" width="9.1796875" style="1"/>
  </cols>
  <sheetData>
    <row r="1" spans="1:8" ht="17.5" x14ac:dyDescent="0.35">
      <c r="A1" s="83"/>
      <c r="B1" s="83"/>
      <c r="C1" s="84"/>
      <c r="D1" s="84"/>
      <c r="E1" s="85" t="s">
        <v>220</v>
      </c>
      <c r="F1" s="83"/>
      <c r="G1" s="83"/>
      <c r="H1" s="85" t="s">
        <v>221</v>
      </c>
    </row>
    <row r="2" spans="1:8" x14ac:dyDescent="0.25">
      <c r="A2" s="50"/>
      <c r="B2" s="51"/>
      <c r="C2" s="51"/>
      <c r="D2" s="51"/>
      <c r="E2" s="51"/>
      <c r="F2" s="51"/>
      <c r="H2" s="51"/>
    </row>
    <row r="3" spans="1:8" x14ac:dyDescent="0.25">
      <c r="A3" s="51"/>
      <c r="B3" s="51" t="s">
        <v>0</v>
      </c>
      <c r="C3" s="51"/>
      <c r="D3" s="51"/>
      <c r="E3" s="1" t="s">
        <v>212</v>
      </c>
      <c r="F3" s="51"/>
      <c r="H3" s="95" t="str">
        <f>+E3</f>
        <v>Stævne ABC</v>
      </c>
    </row>
    <row r="4" spans="1:8" x14ac:dyDescent="0.25">
      <c r="A4" s="51"/>
      <c r="B4" s="51" t="s">
        <v>6</v>
      </c>
      <c r="C4" s="51"/>
      <c r="D4" s="51"/>
      <c r="E4" s="1" t="s">
        <v>194</v>
      </c>
      <c r="F4" s="51"/>
      <c r="H4" s="95" t="str">
        <f t="shared" ref="H4:H8" si="0">+E4</f>
        <v>Peter Falck</v>
      </c>
    </row>
    <row r="5" spans="1:8" x14ac:dyDescent="0.25">
      <c r="A5" s="51"/>
      <c r="B5" s="51" t="s">
        <v>1</v>
      </c>
      <c r="C5" s="51"/>
      <c r="D5" s="51"/>
      <c r="E5" s="1" t="s">
        <v>195</v>
      </c>
      <c r="F5" s="51"/>
      <c r="H5" s="95" t="str">
        <f t="shared" si="0"/>
        <v>22 - 27/7 2024</v>
      </c>
    </row>
    <row r="6" spans="1:8" x14ac:dyDescent="0.25">
      <c r="A6" s="51"/>
      <c r="B6" s="51" t="s">
        <v>3</v>
      </c>
      <c r="C6" s="51"/>
      <c r="D6" s="51"/>
      <c r="E6" s="1">
        <v>5</v>
      </c>
      <c r="F6" s="51"/>
      <c r="H6" s="95">
        <f t="shared" si="0"/>
        <v>5</v>
      </c>
    </row>
    <row r="7" spans="1:8" x14ac:dyDescent="0.25">
      <c r="A7" s="51"/>
      <c r="B7" s="51" t="s">
        <v>193</v>
      </c>
      <c r="C7" s="51"/>
      <c r="D7" s="51"/>
      <c r="E7" s="1" t="s">
        <v>214</v>
      </c>
      <c r="F7" s="51"/>
      <c r="H7" s="95" t="str">
        <f t="shared" si="0"/>
        <v>Kølbåd</v>
      </c>
    </row>
    <row r="8" spans="1:8" x14ac:dyDescent="0.25">
      <c r="A8" s="51"/>
      <c r="B8" s="51" t="s">
        <v>2</v>
      </c>
      <c r="C8" s="51"/>
      <c r="D8" s="51"/>
      <c r="E8" s="1" t="s">
        <v>215</v>
      </c>
      <c r="F8" s="51"/>
      <c r="H8" s="95" t="str">
        <f t="shared" si="0"/>
        <v>Op/Ned</v>
      </c>
    </row>
    <row r="9" spans="1:8" x14ac:dyDescent="0.25">
      <c r="A9" s="51"/>
      <c r="B9" s="51" t="s">
        <v>4</v>
      </c>
      <c r="C9" s="51"/>
      <c r="D9" s="51"/>
      <c r="E9" s="4">
        <f>Indtægter!D21</f>
        <v>125</v>
      </c>
      <c r="F9" s="51"/>
      <c r="H9" s="4">
        <f>Indtægter!G21</f>
        <v>160</v>
      </c>
    </row>
    <row r="10" spans="1:8" x14ac:dyDescent="0.25">
      <c r="A10" s="51"/>
      <c r="B10" s="51" t="s">
        <v>5</v>
      </c>
      <c r="C10" s="51"/>
      <c r="D10" s="51"/>
      <c r="E10" s="1" t="s">
        <v>213</v>
      </c>
      <c r="F10" s="51"/>
      <c r="H10" s="95" t="str">
        <f>+E10</f>
        <v>Vinterbyøster Havn</v>
      </c>
    </row>
    <row r="11" spans="1:8" x14ac:dyDescent="0.25">
      <c r="A11" s="51"/>
      <c r="B11" s="51"/>
      <c r="C11" s="51"/>
      <c r="D11" s="51"/>
      <c r="E11" s="51"/>
      <c r="F11" s="51"/>
      <c r="H11" s="51"/>
    </row>
    <row r="12" spans="1:8" x14ac:dyDescent="0.25">
      <c r="A12" s="51"/>
      <c r="B12" s="51"/>
      <c r="C12" s="51"/>
      <c r="D12" s="52" t="s">
        <v>15</v>
      </c>
      <c r="E12" s="51"/>
      <c r="F12" s="51"/>
      <c r="H12" s="51"/>
    </row>
    <row r="13" spans="1:8" ht="15" x14ac:dyDescent="0.3">
      <c r="A13" s="51"/>
      <c r="B13" s="53" t="s">
        <v>51</v>
      </c>
      <c r="C13" s="53"/>
      <c r="D13" s="51"/>
      <c r="E13" s="51"/>
      <c r="F13" s="51"/>
      <c r="H13" s="51"/>
    </row>
    <row r="14" spans="1:8" x14ac:dyDescent="0.25">
      <c r="A14" s="51"/>
      <c r="B14" s="51" t="s">
        <v>43</v>
      </c>
      <c r="C14" s="51"/>
      <c r="D14" s="54">
        <f>Indtægter!C72</f>
        <v>1210</v>
      </c>
      <c r="E14" s="18">
        <f>Indtægter!D72</f>
        <v>130000</v>
      </c>
      <c r="F14" s="51"/>
      <c r="H14" s="18">
        <f>Indtægter!G72</f>
        <v>125000</v>
      </c>
    </row>
    <row r="15" spans="1:8" x14ac:dyDescent="0.25">
      <c r="A15" s="51"/>
      <c r="B15" s="51" t="s">
        <v>44</v>
      </c>
      <c r="C15" s="51"/>
      <c r="D15" s="54">
        <f>Indtægter!C74</f>
        <v>1230</v>
      </c>
      <c r="E15" s="18">
        <f>Indtægter!D74</f>
        <v>0</v>
      </c>
      <c r="F15" s="51"/>
      <c r="H15" s="18">
        <f>Indtægter!G74</f>
        <v>15000</v>
      </c>
    </row>
    <row r="16" spans="1:8" x14ac:dyDescent="0.25">
      <c r="A16" s="51"/>
      <c r="B16" s="51" t="s">
        <v>45</v>
      </c>
      <c r="C16" s="51"/>
      <c r="D16" s="54">
        <f>Indtægter!C76</f>
        <v>1330</v>
      </c>
      <c r="E16" s="18">
        <f>Indtægter!D76</f>
        <v>0</v>
      </c>
      <c r="F16" s="51"/>
      <c r="H16" s="18">
        <f>Indtægter!G76</f>
        <v>0</v>
      </c>
    </row>
    <row r="17" spans="1:8" s="2" customFormat="1" x14ac:dyDescent="0.25">
      <c r="A17" s="55"/>
      <c r="B17" s="88" t="s">
        <v>46</v>
      </c>
      <c r="C17" s="88"/>
      <c r="D17" s="88"/>
      <c r="E17" s="88">
        <f>E14+E15+E16</f>
        <v>130000</v>
      </c>
      <c r="F17" s="55"/>
      <c r="H17" s="88">
        <f>H14+H15+H16</f>
        <v>140000</v>
      </c>
    </row>
    <row r="18" spans="1:8" x14ac:dyDescent="0.25">
      <c r="A18" s="55"/>
      <c r="B18" s="51" t="s">
        <v>16</v>
      </c>
      <c r="C18" s="51"/>
      <c r="D18" s="54">
        <f>Indtægter!C22</f>
        <v>1805</v>
      </c>
      <c r="E18" s="18">
        <f>Indtægter!D22</f>
        <v>312500</v>
      </c>
      <c r="F18" s="51"/>
      <c r="G18" s="2"/>
      <c r="H18" s="18">
        <f>Indtægter!G22</f>
        <v>405000</v>
      </c>
    </row>
    <row r="19" spans="1:8" s="2" customFormat="1" x14ac:dyDescent="0.25">
      <c r="A19" s="55"/>
      <c r="B19" s="51" t="s">
        <v>27</v>
      </c>
      <c r="C19" s="51"/>
      <c r="D19" s="54">
        <f>Indtægter!C40</f>
        <v>1825</v>
      </c>
      <c r="E19" s="18">
        <f>Indtægter!D40</f>
        <v>45000</v>
      </c>
      <c r="F19" s="55"/>
      <c r="H19" s="18">
        <f>Indtægter!G40</f>
        <v>49125</v>
      </c>
    </row>
    <row r="20" spans="1:8" x14ac:dyDescent="0.25">
      <c r="A20" s="51"/>
      <c r="B20" s="51" t="s">
        <v>219</v>
      </c>
      <c r="C20" s="51"/>
      <c r="D20" s="54">
        <f>Indtægter!C53</f>
        <v>1830</v>
      </c>
      <c r="E20" s="18">
        <f>Indtægter!D53</f>
        <v>48000</v>
      </c>
      <c r="F20" s="51"/>
      <c r="G20" s="2"/>
      <c r="H20" s="18">
        <f>Indtægter!G53</f>
        <v>36000</v>
      </c>
    </row>
    <row r="21" spans="1:8" s="2" customFormat="1" x14ac:dyDescent="0.25">
      <c r="A21" s="55"/>
      <c r="B21" s="88" t="s">
        <v>47</v>
      </c>
      <c r="C21" s="88"/>
      <c r="D21" s="88"/>
      <c r="E21" s="88">
        <f>E18+E19+E20</f>
        <v>405500</v>
      </c>
      <c r="F21" s="55"/>
      <c r="H21" s="88">
        <f>H18+H19+H20</f>
        <v>490125</v>
      </c>
    </row>
    <row r="22" spans="1:8" s="2" customFormat="1" x14ac:dyDescent="0.25">
      <c r="A22" s="55"/>
      <c r="B22" s="51" t="s">
        <v>224</v>
      </c>
      <c r="C22" s="51"/>
      <c r="D22" s="54">
        <f>Indtægter!C78</f>
        <v>1905</v>
      </c>
      <c r="E22" s="18">
        <f>Indtægter!D78</f>
        <v>0</v>
      </c>
      <c r="F22" s="55"/>
      <c r="H22" s="18">
        <f>Indtægter!G78</f>
        <v>0</v>
      </c>
    </row>
    <row r="23" spans="1:8" x14ac:dyDescent="0.25">
      <c r="A23" s="51"/>
      <c r="B23" s="51" t="s">
        <v>225</v>
      </c>
      <c r="C23" s="51"/>
      <c r="D23" s="54">
        <f>Indtægter!C81</f>
        <v>1910</v>
      </c>
      <c r="E23" s="18">
        <f>Indtægter!D81</f>
        <v>4000</v>
      </c>
      <c r="F23" s="51"/>
      <c r="G23" s="2"/>
      <c r="H23" s="18">
        <f>Indtægter!G81</f>
        <v>2400</v>
      </c>
    </row>
    <row r="24" spans="1:8" s="2" customFormat="1" x14ac:dyDescent="0.25">
      <c r="A24" s="55"/>
      <c r="B24" s="88" t="s">
        <v>52</v>
      </c>
      <c r="C24" s="88"/>
      <c r="D24" s="88"/>
      <c r="E24" s="15">
        <f>E22+E23</f>
        <v>4000</v>
      </c>
      <c r="F24" s="55"/>
      <c r="H24" s="15">
        <f>H22+H23</f>
        <v>2400</v>
      </c>
    </row>
    <row r="25" spans="1:8" s="2" customFormat="1" ht="15.5" thickBot="1" x14ac:dyDescent="0.35">
      <c r="A25" s="55"/>
      <c r="B25" s="90" t="s">
        <v>53</v>
      </c>
      <c r="C25" s="90"/>
      <c r="D25" s="90"/>
      <c r="E25" s="16">
        <f>E17+E21+E24</f>
        <v>539500</v>
      </c>
      <c r="F25" s="55"/>
      <c r="H25" s="16">
        <f>H17+H21+H24</f>
        <v>632525</v>
      </c>
    </row>
    <row r="26" spans="1:8" ht="14" thickTop="1" x14ac:dyDescent="0.25">
      <c r="A26" s="51"/>
      <c r="B26" s="51"/>
      <c r="C26" s="51"/>
      <c r="D26" s="51"/>
      <c r="E26" s="59"/>
      <c r="F26" s="51"/>
      <c r="H26" s="59"/>
    </row>
    <row r="27" spans="1:8" ht="15" x14ac:dyDescent="0.3">
      <c r="A27" s="51"/>
      <c r="B27" s="53" t="s">
        <v>165</v>
      </c>
      <c r="C27" s="53"/>
      <c r="D27" s="51"/>
      <c r="E27" s="59"/>
      <c r="F27" s="51"/>
      <c r="H27" s="59"/>
    </row>
    <row r="28" spans="1:8" x14ac:dyDescent="0.25">
      <c r="A28" s="51"/>
      <c r="B28" s="51" t="s">
        <v>167</v>
      </c>
      <c r="C28" s="51"/>
      <c r="D28" s="51">
        <f>Omkostninger!D181</f>
        <v>2605</v>
      </c>
      <c r="E28" s="18">
        <f>Omkostninger!E181</f>
        <v>0</v>
      </c>
      <c r="F28" s="51"/>
      <c r="H28" s="18">
        <f>Omkostninger!H181</f>
        <v>0</v>
      </c>
    </row>
    <row r="29" spans="1:8" x14ac:dyDescent="0.25">
      <c r="A29" s="51"/>
      <c r="B29" s="51" t="s">
        <v>166</v>
      </c>
      <c r="C29" s="51"/>
      <c r="D29" s="51">
        <f>Omkostninger!D183</f>
        <v>2610</v>
      </c>
      <c r="E29" s="18">
        <f>Omkostninger!E183</f>
        <v>0</v>
      </c>
      <c r="F29" s="51"/>
      <c r="H29" s="18">
        <f>Omkostninger!H183</f>
        <v>0</v>
      </c>
    </row>
    <row r="30" spans="1:8" s="2" customFormat="1" x14ac:dyDescent="0.25">
      <c r="A30" s="55"/>
      <c r="B30" s="88" t="s">
        <v>168</v>
      </c>
      <c r="C30" s="88"/>
      <c r="D30" s="88"/>
      <c r="E30" s="88">
        <f>E28+E29</f>
        <v>0</v>
      </c>
      <c r="F30" s="55"/>
      <c r="H30" s="88">
        <f>H28+H29</f>
        <v>0</v>
      </c>
    </row>
    <row r="31" spans="1:8" x14ac:dyDescent="0.25">
      <c r="A31" s="51"/>
      <c r="B31" s="51" t="s">
        <v>169</v>
      </c>
      <c r="C31" s="51"/>
      <c r="D31" s="51">
        <f>Omkostninger!D78</f>
        <v>2205</v>
      </c>
      <c r="E31" s="18">
        <f>Omkostninger!E78</f>
        <v>2850</v>
      </c>
      <c r="F31" s="51"/>
      <c r="H31" s="18">
        <f>Omkostninger!H78</f>
        <v>2850</v>
      </c>
    </row>
    <row r="32" spans="1:8" x14ac:dyDescent="0.25">
      <c r="A32" s="51"/>
      <c r="B32" s="51" t="s">
        <v>170</v>
      </c>
      <c r="C32" s="51"/>
      <c r="D32" s="51">
        <f>Omkostninger!D92</f>
        <v>2210</v>
      </c>
      <c r="E32" s="18">
        <f>Omkostninger!E92</f>
        <v>0</v>
      </c>
      <c r="F32" s="51"/>
      <c r="H32" s="18">
        <f>Omkostninger!H92</f>
        <v>0</v>
      </c>
    </row>
    <row r="33" spans="1:8" x14ac:dyDescent="0.25">
      <c r="A33" s="51"/>
      <c r="B33" s="51" t="s">
        <v>171</v>
      </c>
      <c r="C33" s="51"/>
      <c r="D33" s="51">
        <f>Omkostninger!D86</f>
        <v>2215</v>
      </c>
      <c r="E33" s="18">
        <f>Omkostninger!E86</f>
        <v>40000</v>
      </c>
      <c r="F33" s="51"/>
      <c r="H33" s="18">
        <f>Omkostninger!H86</f>
        <v>40000</v>
      </c>
    </row>
    <row r="34" spans="1:8" x14ac:dyDescent="0.25">
      <c r="A34" s="51"/>
      <c r="B34" s="51" t="s">
        <v>172</v>
      </c>
      <c r="C34" s="51"/>
      <c r="D34" s="56">
        <f>Omkostninger!D56</f>
        <v>2225</v>
      </c>
      <c r="E34" s="18">
        <f>Omkostninger!E56</f>
        <v>273725</v>
      </c>
      <c r="F34" s="51"/>
      <c r="H34" s="18">
        <f>Omkostninger!H56</f>
        <v>341850</v>
      </c>
    </row>
    <row r="35" spans="1:8" x14ac:dyDescent="0.25">
      <c r="A35" s="51"/>
      <c r="B35" s="51" t="s">
        <v>173</v>
      </c>
      <c r="C35" s="51"/>
      <c r="D35" s="51">
        <f>Omkostninger!D98</f>
        <v>2230</v>
      </c>
      <c r="E35" s="18">
        <f>Omkostninger!E98</f>
        <v>20000</v>
      </c>
      <c r="F35" s="51"/>
      <c r="H35" s="18">
        <f>Omkostninger!H98</f>
        <v>20000</v>
      </c>
    </row>
    <row r="36" spans="1:8" x14ac:dyDescent="0.25">
      <c r="A36" s="51"/>
      <c r="B36" s="51" t="s">
        <v>174</v>
      </c>
      <c r="C36" s="51"/>
      <c r="D36" s="51">
        <f>Omkostninger!D100</f>
        <v>2235</v>
      </c>
      <c r="E36" s="18">
        <f>Omkostninger!E100</f>
        <v>0</v>
      </c>
      <c r="F36" s="51"/>
      <c r="H36" s="18">
        <f>Omkostninger!H100</f>
        <v>0</v>
      </c>
    </row>
    <row r="37" spans="1:8" x14ac:dyDescent="0.25">
      <c r="A37" s="51"/>
      <c r="B37" s="51" t="s">
        <v>175</v>
      </c>
      <c r="C37" s="51"/>
      <c r="D37" s="51">
        <f>Omkostninger!D102</f>
        <v>2240</v>
      </c>
      <c r="E37" s="18">
        <f>Omkostninger!E102</f>
        <v>5000</v>
      </c>
      <c r="F37" s="51"/>
      <c r="H37" s="18">
        <f>Omkostninger!H102</f>
        <v>5000</v>
      </c>
    </row>
    <row r="38" spans="1:8" x14ac:dyDescent="0.25">
      <c r="A38" s="51"/>
      <c r="B38" s="51" t="s">
        <v>176</v>
      </c>
      <c r="C38" s="57"/>
      <c r="D38" s="57" t="str">
        <f>Omkostninger!D143</f>
        <v>2255-2260</v>
      </c>
      <c r="E38" s="18">
        <f>Omkostninger!E143-E39-E37</f>
        <v>109000</v>
      </c>
      <c r="F38" s="51"/>
      <c r="H38" s="18">
        <f>Omkostninger!H143-H39-H37</f>
        <v>107500</v>
      </c>
    </row>
    <row r="39" spans="1:8" x14ac:dyDescent="0.25">
      <c r="A39" s="51"/>
      <c r="B39" s="51" t="s">
        <v>227</v>
      </c>
      <c r="C39" s="57"/>
      <c r="D39" s="57"/>
      <c r="E39" s="18">
        <f>+Omkostninger!E141</f>
        <v>50000</v>
      </c>
      <c r="F39" s="51"/>
      <c r="H39" s="18">
        <f>+Omkostninger!H141</f>
        <v>50000</v>
      </c>
    </row>
    <row r="40" spans="1:8" x14ac:dyDescent="0.25">
      <c r="A40" s="51"/>
      <c r="B40" s="51" t="s">
        <v>177</v>
      </c>
      <c r="C40" s="51"/>
      <c r="D40" s="51">
        <f>Omkostninger!D147</f>
        <v>2270</v>
      </c>
      <c r="E40" s="18">
        <f>Omkostninger!E147</f>
        <v>30000</v>
      </c>
      <c r="F40" s="51"/>
      <c r="H40" s="18">
        <f>Omkostninger!H147</f>
        <v>30000</v>
      </c>
    </row>
    <row r="41" spans="1:8" x14ac:dyDescent="0.25">
      <c r="A41" s="51"/>
      <c r="B41" s="51" t="s">
        <v>80</v>
      </c>
      <c r="C41" s="51"/>
      <c r="D41" s="51">
        <f>Omkostninger!D149</f>
        <v>2435</v>
      </c>
      <c r="E41" s="18">
        <f>Omkostninger!E149</f>
        <v>50000</v>
      </c>
      <c r="F41" s="51"/>
      <c r="H41" s="18">
        <f>Omkostninger!H149</f>
        <v>50000</v>
      </c>
    </row>
    <row r="42" spans="1:8" s="2" customFormat="1" x14ac:dyDescent="0.25">
      <c r="A42" s="55"/>
      <c r="B42" s="88" t="s">
        <v>79</v>
      </c>
      <c r="C42" s="88"/>
      <c r="D42" s="88"/>
      <c r="E42" s="88">
        <f>SUM(E31:E41)</f>
        <v>580575</v>
      </c>
      <c r="F42" s="55"/>
      <c r="H42" s="88">
        <f>SUM(H31:H41)</f>
        <v>647200</v>
      </c>
    </row>
    <row r="43" spans="1:8" s="2" customFormat="1" x14ac:dyDescent="0.25">
      <c r="A43" s="55"/>
      <c r="B43" s="88" t="s">
        <v>192</v>
      </c>
      <c r="C43" s="88"/>
      <c r="D43" s="89">
        <f>Omkostninger!D151</f>
        <v>2005</v>
      </c>
      <c r="E43" s="88">
        <f>Omkostninger!E151</f>
        <v>10000</v>
      </c>
      <c r="F43" s="55"/>
      <c r="H43" s="88">
        <f>Omkostninger!H151</f>
        <v>10000</v>
      </c>
    </row>
    <row r="44" spans="1:8" x14ac:dyDescent="0.25">
      <c r="A44" s="51"/>
      <c r="B44" s="51" t="s">
        <v>72</v>
      </c>
      <c r="C44" s="51"/>
      <c r="D44" s="51">
        <f>Omkostninger!D153</f>
        <v>2325</v>
      </c>
      <c r="E44" s="18">
        <f>Omkostninger!E153</f>
        <v>10000</v>
      </c>
      <c r="F44" s="51"/>
      <c r="H44" s="18">
        <f>Omkostninger!H153</f>
        <v>10000</v>
      </c>
    </row>
    <row r="45" spans="1:8" x14ac:dyDescent="0.25">
      <c r="A45" s="51"/>
      <c r="B45" s="51" t="s">
        <v>178</v>
      </c>
      <c r="C45" s="51"/>
      <c r="D45" s="51">
        <f>Omkostninger!D155</f>
        <v>2355</v>
      </c>
      <c r="E45" s="18">
        <f>Omkostninger!E155</f>
        <v>0</v>
      </c>
      <c r="F45" s="51"/>
      <c r="H45" s="18">
        <f>Omkostninger!H155</f>
        <v>0</v>
      </c>
    </row>
    <row r="46" spans="1:8" x14ac:dyDescent="0.25">
      <c r="A46" s="51"/>
      <c r="B46" s="51" t="s">
        <v>179</v>
      </c>
      <c r="C46" s="51"/>
      <c r="D46" s="51">
        <f>Omkostninger!D157</f>
        <v>2415</v>
      </c>
      <c r="E46" s="18">
        <f>Omkostninger!E157</f>
        <v>0</v>
      </c>
      <c r="F46" s="51"/>
      <c r="H46" s="18">
        <f>Omkostninger!H157</f>
        <v>0</v>
      </c>
    </row>
    <row r="47" spans="1:8" x14ac:dyDescent="0.25">
      <c r="A47" s="51"/>
      <c r="B47" s="51" t="s">
        <v>180</v>
      </c>
      <c r="C47" s="51"/>
      <c r="D47" s="51">
        <f>Omkostninger!D159</f>
        <v>2704</v>
      </c>
      <c r="E47" s="18">
        <f>Omkostninger!E159</f>
        <v>2000</v>
      </c>
      <c r="F47" s="51"/>
      <c r="H47" s="18">
        <f>Omkostninger!H159</f>
        <v>2000</v>
      </c>
    </row>
    <row r="48" spans="1:8" x14ac:dyDescent="0.25">
      <c r="A48" s="51"/>
      <c r="B48" s="51" t="s">
        <v>181</v>
      </c>
      <c r="C48" s="51"/>
      <c r="D48" s="51">
        <f>Omkostninger!D161</f>
        <v>2716</v>
      </c>
      <c r="E48" s="18">
        <f>Omkostninger!E161</f>
        <v>0</v>
      </c>
      <c r="F48" s="51"/>
      <c r="H48" s="18">
        <f>Omkostninger!H161</f>
        <v>0</v>
      </c>
    </row>
    <row r="49" spans="1:9" x14ac:dyDescent="0.25">
      <c r="A49" s="51"/>
      <c r="B49" s="51" t="s">
        <v>182</v>
      </c>
      <c r="C49" s="51"/>
      <c r="D49" s="51">
        <f>Omkostninger!D163</f>
        <v>2720</v>
      </c>
      <c r="E49" s="18">
        <f>Omkostninger!E163</f>
        <v>0</v>
      </c>
      <c r="F49" s="51"/>
      <c r="H49" s="18">
        <f>Omkostninger!H163</f>
        <v>0</v>
      </c>
    </row>
    <row r="50" spans="1:9" x14ac:dyDescent="0.25">
      <c r="A50" s="51"/>
      <c r="B50" s="51" t="s">
        <v>183</v>
      </c>
      <c r="C50" s="51"/>
      <c r="D50" s="51">
        <f>Omkostninger!D165</f>
        <v>2732</v>
      </c>
      <c r="E50" s="18">
        <f>Omkostninger!E165</f>
        <v>0</v>
      </c>
      <c r="F50" s="51"/>
      <c r="H50" s="18">
        <f>Omkostninger!H165</f>
        <v>0</v>
      </c>
    </row>
    <row r="51" spans="1:9" x14ac:dyDescent="0.25">
      <c r="A51" s="51"/>
      <c r="B51" s="51" t="s">
        <v>184</v>
      </c>
      <c r="C51" s="51"/>
      <c r="D51" s="51">
        <f>Omkostninger!D167</f>
        <v>2740</v>
      </c>
      <c r="E51" s="18">
        <f>Omkostninger!E167</f>
        <v>0</v>
      </c>
      <c r="F51" s="51"/>
      <c r="H51" s="18">
        <f>Omkostninger!H167</f>
        <v>0</v>
      </c>
    </row>
    <row r="52" spans="1:9" x14ac:dyDescent="0.25">
      <c r="A52" s="51"/>
      <c r="B52" s="51" t="s">
        <v>185</v>
      </c>
      <c r="C52" s="51"/>
      <c r="D52" s="51">
        <f>Omkostninger!D179</f>
        <v>2780</v>
      </c>
      <c r="E52" s="18">
        <f>Omkostninger!E179</f>
        <v>2000</v>
      </c>
      <c r="F52" s="51"/>
      <c r="H52" s="18">
        <f>Omkostninger!H179</f>
        <v>2000</v>
      </c>
    </row>
    <row r="53" spans="1:9" x14ac:dyDescent="0.25">
      <c r="A53" s="51"/>
      <c r="B53" s="51" t="s">
        <v>186</v>
      </c>
      <c r="C53" s="51"/>
      <c r="D53" s="51">
        <f>Omkostninger!D169</f>
        <v>2825</v>
      </c>
      <c r="E53" s="18">
        <f>Omkostninger!E169</f>
        <v>0</v>
      </c>
      <c r="F53" s="51"/>
      <c r="H53" s="18">
        <f>Omkostninger!H169</f>
        <v>0</v>
      </c>
    </row>
    <row r="54" spans="1:9" s="2" customFormat="1" x14ac:dyDescent="0.25">
      <c r="A54" s="55"/>
      <c r="B54" s="88" t="s">
        <v>187</v>
      </c>
      <c r="C54" s="88"/>
      <c r="D54" s="88"/>
      <c r="E54" s="88">
        <f>E44+E45+E46+E47+E48+E49+E50+E51+E52+E53</f>
        <v>14000</v>
      </c>
      <c r="F54" s="55"/>
      <c r="H54" s="88">
        <f>H44+H45+H46+H47+H48+H49+H50+H51+H52+H53</f>
        <v>14000</v>
      </c>
    </row>
    <row r="55" spans="1:9" s="2" customFormat="1" x14ac:dyDescent="0.25">
      <c r="A55" s="55"/>
      <c r="B55" s="88" t="s">
        <v>188</v>
      </c>
      <c r="C55" s="88"/>
      <c r="D55" s="89">
        <f>Omkostninger!D171</f>
        <v>2660</v>
      </c>
      <c r="E55" s="88">
        <f>Omkostninger!E171</f>
        <v>0</v>
      </c>
      <c r="F55" s="55"/>
      <c r="H55" s="88">
        <f>Omkostninger!H171</f>
        <v>0</v>
      </c>
    </row>
    <row r="56" spans="1:9" x14ac:dyDescent="0.25">
      <c r="A56" s="51"/>
      <c r="B56" s="51" t="s">
        <v>151</v>
      </c>
      <c r="C56" s="51"/>
      <c r="D56" s="51">
        <f>Omkostninger!D173</f>
        <v>2650</v>
      </c>
      <c r="E56" s="18">
        <f>Omkostninger!E173</f>
        <v>0</v>
      </c>
      <c r="F56" s="51"/>
      <c r="H56" s="18">
        <f>Omkostninger!H173</f>
        <v>0</v>
      </c>
    </row>
    <row r="57" spans="1:9" x14ac:dyDescent="0.25">
      <c r="A57" s="51"/>
      <c r="B57" s="51" t="s">
        <v>228</v>
      </c>
      <c r="C57" s="51"/>
      <c r="D57" s="51">
        <f>Omkostninger!D175</f>
        <v>2756</v>
      </c>
      <c r="E57" s="18">
        <f>Omkostninger!E175</f>
        <v>5000</v>
      </c>
      <c r="F57" s="51"/>
      <c r="H57" s="18">
        <f>Omkostninger!H175</f>
        <v>5000</v>
      </c>
    </row>
    <row r="58" spans="1:9" x14ac:dyDescent="0.25">
      <c r="A58" s="51"/>
      <c r="B58" s="51" t="s">
        <v>226</v>
      </c>
      <c r="C58" s="51"/>
      <c r="D58" s="51">
        <f>Omkostninger!D177</f>
        <v>2768</v>
      </c>
      <c r="E58" s="18">
        <f>Omkostninger!E177</f>
        <v>0</v>
      </c>
      <c r="F58" s="51"/>
      <c r="H58" s="18">
        <f>Omkostninger!H177</f>
        <v>0</v>
      </c>
    </row>
    <row r="59" spans="1:9" s="2" customFormat="1" x14ac:dyDescent="0.25">
      <c r="A59" s="55"/>
      <c r="B59" s="88" t="s">
        <v>189</v>
      </c>
      <c r="C59" s="88"/>
      <c r="D59" s="89"/>
      <c r="E59" s="15">
        <f>E56+E57+E58</f>
        <v>5000</v>
      </c>
      <c r="F59" s="55"/>
      <c r="H59" s="15">
        <f>H56+H57+H58</f>
        <v>5000</v>
      </c>
      <c r="I59" s="35"/>
    </row>
    <row r="60" spans="1:9" s="2" customFormat="1" ht="14" thickBot="1" x14ac:dyDescent="0.3">
      <c r="A60" s="55"/>
      <c r="B60" s="88" t="s">
        <v>190</v>
      </c>
      <c r="C60" s="88"/>
      <c r="D60" s="89"/>
      <c r="E60" s="16">
        <f>E30+E42+E43+E54+E55+E59</f>
        <v>609575</v>
      </c>
      <c r="F60" s="55"/>
      <c r="H60" s="16">
        <f>H30+H42+H43+H54+H55+H59</f>
        <v>676200</v>
      </c>
    </row>
    <row r="61" spans="1:9" ht="14" thickTop="1" x14ac:dyDescent="0.25">
      <c r="A61" s="51"/>
      <c r="B61" s="51"/>
      <c r="C61" s="51"/>
      <c r="D61" s="51"/>
      <c r="E61" s="59"/>
      <c r="F61" s="51"/>
      <c r="H61" s="59"/>
    </row>
    <row r="62" spans="1:9" s="3" customFormat="1" ht="15.5" thickBot="1" x14ac:dyDescent="0.35">
      <c r="A62" s="53"/>
      <c r="B62" s="90" t="s">
        <v>191</v>
      </c>
      <c r="C62" s="90"/>
      <c r="D62" s="90"/>
      <c r="E62" s="17">
        <f>E25-E60</f>
        <v>-70075</v>
      </c>
      <c r="F62" s="53"/>
      <c r="H62" s="17">
        <f>H25-H60</f>
        <v>-43675</v>
      </c>
    </row>
    <row r="63" spans="1:9" ht="14" thickTop="1" x14ac:dyDescent="0.25">
      <c r="A63" s="51"/>
      <c r="B63" s="51"/>
      <c r="C63" s="51"/>
      <c r="D63" s="51"/>
      <c r="E63" s="59"/>
      <c r="F63" s="51"/>
      <c r="H63" s="59"/>
    </row>
    <row r="64" spans="1:9" x14ac:dyDescent="0.25">
      <c r="A64" s="51"/>
      <c r="B64" s="51"/>
      <c r="C64" s="51"/>
      <c r="D64" s="51"/>
      <c r="E64" s="51"/>
      <c r="F64" s="51"/>
      <c r="H64" s="5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workbookViewId="0">
      <pane ySplit="4" topLeftCell="A5" activePane="bottomLeft" state="frozen"/>
      <selection pane="bottomLeft" activeCell="L9" sqref="L9"/>
    </sheetView>
  </sheetViews>
  <sheetFormatPr defaultColWidth="9.1796875" defaultRowHeight="13.5" x14ac:dyDescent="0.25"/>
  <cols>
    <col min="1" max="1" width="4.1796875" style="1" customWidth="1"/>
    <col min="2" max="2" width="51.1796875" style="1" bestFit="1" customWidth="1"/>
    <col min="3" max="3" width="7.453125" style="6" bestFit="1" customWidth="1"/>
    <col min="4" max="4" width="37.90625" style="24" bestFit="1" customWidth="1"/>
    <col min="5" max="6" width="9.1796875" style="1"/>
    <col min="7" max="7" width="37.90625" style="24" bestFit="1" customWidth="1"/>
    <col min="8" max="8" width="12.81640625" style="1" bestFit="1" customWidth="1"/>
    <col min="9" max="16384" width="9.1796875" style="1"/>
  </cols>
  <sheetData>
    <row r="1" spans="1:7" ht="17.5" x14ac:dyDescent="0.35">
      <c r="A1" s="83"/>
      <c r="B1" s="83"/>
      <c r="C1" s="84"/>
      <c r="D1" s="85" t="s">
        <v>220</v>
      </c>
      <c r="E1" s="83"/>
      <c r="F1" s="83"/>
      <c r="G1" s="85" t="s">
        <v>221</v>
      </c>
    </row>
    <row r="2" spans="1:7" x14ac:dyDescent="0.25">
      <c r="A2" s="50"/>
      <c r="B2" s="51"/>
      <c r="C2" s="54"/>
      <c r="D2" s="57"/>
      <c r="E2" s="51"/>
      <c r="G2" s="57"/>
    </row>
    <row r="3" spans="1:7" x14ac:dyDescent="0.25">
      <c r="A3" s="51"/>
      <c r="B3" s="51" t="s">
        <v>30</v>
      </c>
      <c r="C3" s="64"/>
      <c r="D3" s="31" t="str">
        <f>Budgetoversigt!E3</f>
        <v>Stævne ABC</v>
      </c>
      <c r="E3" s="51"/>
      <c r="G3" s="31" t="str">
        <f>+D3</f>
        <v>Stævne ABC</v>
      </c>
    </row>
    <row r="4" spans="1:7" x14ac:dyDescent="0.25">
      <c r="A4" s="51"/>
      <c r="B4" s="51"/>
      <c r="C4" s="52" t="s">
        <v>15</v>
      </c>
      <c r="D4" s="57"/>
      <c r="E4" s="51"/>
      <c r="G4" s="57"/>
    </row>
    <row r="5" spans="1:7" x14ac:dyDescent="0.25">
      <c r="A5" s="51"/>
      <c r="B5" s="51" t="s">
        <v>82</v>
      </c>
      <c r="C5" s="54"/>
      <c r="D5" s="24">
        <v>100</v>
      </c>
      <c r="E5" s="51"/>
      <c r="G5" s="24">
        <v>130</v>
      </c>
    </row>
    <row r="6" spans="1:7" x14ac:dyDescent="0.25">
      <c r="A6" s="51"/>
      <c r="B6" s="51" t="s">
        <v>7</v>
      </c>
      <c r="C6" s="54"/>
      <c r="D6" s="23">
        <v>3000</v>
      </c>
      <c r="E6" s="51"/>
      <c r="G6" s="86">
        <f>+D6</f>
        <v>3000</v>
      </c>
    </row>
    <row r="7" spans="1:7" x14ac:dyDescent="0.25">
      <c r="A7" s="51"/>
      <c r="B7" s="71" t="s">
        <v>8</v>
      </c>
      <c r="C7" s="72"/>
      <c r="D7" s="26">
        <f>D5*D6</f>
        <v>300000</v>
      </c>
      <c r="E7" s="51"/>
      <c r="G7" s="26">
        <f>G5*G6</f>
        <v>390000</v>
      </c>
    </row>
    <row r="8" spans="1:7" x14ac:dyDescent="0.25">
      <c r="A8" s="51"/>
      <c r="B8" s="51"/>
      <c r="C8" s="54"/>
      <c r="D8" s="57"/>
      <c r="E8" s="51"/>
      <c r="G8" s="57"/>
    </row>
    <row r="9" spans="1:7" x14ac:dyDescent="0.25">
      <c r="A9" s="51"/>
      <c r="B9" s="51" t="s">
        <v>196</v>
      </c>
      <c r="C9" s="54"/>
      <c r="D9" s="24">
        <v>25</v>
      </c>
      <c r="E9" s="51"/>
      <c r="G9" s="24">
        <v>30</v>
      </c>
    </row>
    <row r="10" spans="1:7" x14ac:dyDescent="0.25">
      <c r="A10" s="51"/>
      <c r="B10" s="51" t="s">
        <v>9</v>
      </c>
      <c r="C10" s="54"/>
      <c r="D10" s="23">
        <v>500</v>
      </c>
      <c r="E10" s="51"/>
      <c r="G10" s="86">
        <f>+D10</f>
        <v>500</v>
      </c>
    </row>
    <row r="11" spans="1:7" x14ac:dyDescent="0.25">
      <c r="A11" s="51"/>
      <c r="B11" s="71" t="s">
        <v>10</v>
      </c>
      <c r="C11" s="72"/>
      <c r="D11" s="26">
        <f t="shared" ref="D11" si="0">D9*D10</f>
        <v>12500</v>
      </c>
      <c r="E11" s="51"/>
      <c r="G11" s="26">
        <f t="shared" ref="G11" si="1">G9*G10</f>
        <v>15000</v>
      </c>
    </row>
    <row r="12" spans="1:7" x14ac:dyDescent="0.25">
      <c r="A12" s="51"/>
      <c r="B12" s="51"/>
      <c r="C12" s="54"/>
      <c r="D12" s="57"/>
      <c r="E12" s="51"/>
      <c r="G12" s="57"/>
    </row>
    <row r="13" spans="1:7" x14ac:dyDescent="0.25">
      <c r="A13" s="51"/>
      <c r="B13" s="51" t="s">
        <v>83</v>
      </c>
      <c r="C13" s="54"/>
      <c r="E13" s="51"/>
    </row>
    <row r="14" spans="1:7" x14ac:dyDescent="0.25">
      <c r="A14" s="51"/>
      <c r="B14" s="51" t="s">
        <v>11</v>
      </c>
      <c r="C14" s="54"/>
      <c r="D14" s="23"/>
      <c r="E14" s="51"/>
      <c r="G14" s="86">
        <f>+D14</f>
        <v>0</v>
      </c>
    </row>
    <row r="15" spans="1:7" x14ac:dyDescent="0.25">
      <c r="A15" s="51"/>
      <c r="B15" s="71" t="s">
        <v>12</v>
      </c>
      <c r="C15" s="72"/>
      <c r="D15" s="26">
        <f t="shared" ref="D15" si="2">D13*D14</f>
        <v>0</v>
      </c>
      <c r="E15" s="51"/>
      <c r="G15" s="26">
        <f t="shared" ref="G15" si="3">G13*G14</f>
        <v>0</v>
      </c>
    </row>
    <row r="16" spans="1:7" x14ac:dyDescent="0.25">
      <c r="A16" s="51"/>
      <c r="B16" s="51"/>
      <c r="C16" s="54"/>
      <c r="D16" s="57"/>
      <c r="E16" s="51"/>
      <c r="G16" s="57"/>
    </row>
    <row r="17" spans="1:7" x14ac:dyDescent="0.25">
      <c r="A17" s="51"/>
      <c r="B17" s="51" t="s">
        <v>84</v>
      </c>
      <c r="C17" s="54"/>
      <c r="E17" s="51"/>
    </row>
    <row r="18" spans="1:7" x14ac:dyDescent="0.25">
      <c r="A18" s="51"/>
      <c r="B18" s="51" t="s">
        <v>13</v>
      </c>
      <c r="C18" s="54"/>
      <c r="D18" s="23"/>
      <c r="E18" s="51"/>
      <c r="G18" s="86">
        <f>+D18</f>
        <v>0</v>
      </c>
    </row>
    <row r="19" spans="1:7" x14ac:dyDescent="0.25">
      <c r="A19" s="51"/>
      <c r="B19" s="71" t="s">
        <v>14</v>
      </c>
      <c r="C19" s="72"/>
      <c r="D19" s="26">
        <f t="shared" ref="D19" si="4">D17*D18</f>
        <v>0</v>
      </c>
      <c r="E19" s="51"/>
      <c r="G19" s="26">
        <f t="shared" ref="G19" si="5">G17*G18</f>
        <v>0</v>
      </c>
    </row>
    <row r="20" spans="1:7" x14ac:dyDescent="0.25">
      <c r="A20" s="51"/>
      <c r="B20" s="51"/>
      <c r="C20" s="54"/>
      <c r="D20" s="57"/>
      <c r="E20" s="51"/>
      <c r="G20" s="57"/>
    </row>
    <row r="21" spans="1:7" x14ac:dyDescent="0.25">
      <c r="A21" s="51"/>
      <c r="B21" s="51" t="s">
        <v>85</v>
      </c>
      <c r="C21" s="54"/>
      <c r="D21" s="25">
        <f>D5+D9+D13+D17</f>
        <v>125</v>
      </c>
      <c r="E21" s="51"/>
      <c r="G21" s="25">
        <f>G5+G9+G13+G17</f>
        <v>160</v>
      </c>
    </row>
    <row r="22" spans="1:7" s="2" customFormat="1" x14ac:dyDescent="0.25">
      <c r="A22" s="55"/>
      <c r="B22" s="19" t="s">
        <v>16</v>
      </c>
      <c r="C22" s="97">
        <v>1805</v>
      </c>
      <c r="D22" s="27">
        <f>D7+D11+D15+D19</f>
        <v>312500</v>
      </c>
      <c r="E22" s="55"/>
      <c r="G22" s="27">
        <f>G7+G11+G15+G19</f>
        <v>405000</v>
      </c>
    </row>
    <row r="23" spans="1:7" x14ac:dyDescent="0.25">
      <c r="A23" s="51"/>
      <c r="B23" s="51"/>
      <c r="C23" s="54"/>
      <c r="D23" s="57"/>
      <c r="E23" s="51"/>
      <c r="G23" s="57"/>
    </row>
    <row r="24" spans="1:7" x14ac:dyDescent="0.25">
      <c r="A24" s="51"/>
      <c r="B24" s="51" t="s">
        <v>17</v>
      </c>
      <c r="C24" s="54"/>
      <c r="D24" s="24">
        <v>30</v>
      </c>
      <c r="E24" s="51"/>
      <c r="G24" s="24">
        <v>35</v>
      </c>
    </row>
    <row r="25" spans="1:7" x14ac:dyDescent="0.25">
      <c r="A25" s="51"/>
      <c r="B25" s="51" t="s">
        <v>18</v>
      </c>
      <c r="C25" s="54"/>
      <c r="D25" s="23">
        <v>150</v>
      </c>
      <c r="E25" s="51"/>
      <c r="G25" s="86">
        <f>+D25</f>
        <v>150</v>
      </c>
    </row>
    <row r="26" spans="1:7" x14ac:dyDescent="0.25">
      <c r="A26" s="51"/>
      <c r="B26" s="71" t="s">
        <v>19</v>
      </c>
      <c r="C26" s="72"/>
      <c r="D26" s="26">
        <f t="shared" ref="D26" si="6">D24*D25</f>
        <v>4500</v>
      </c>
      <c r="E26" s="51"/>
      <c r="G26" s="26">
        <f t="shared" ref="G26" si="7">G24*G25</f>
        <v>5250</v>
      </c>
    </row>
    <row r="27" spans="1:7" x14ac:dyDescent="0.25">
      <c r="A27" s="51"/>
      <c r="B27" s="51"/>
      <c r="C27" s="54"/>
      <c r="D27" s="57"/>
      <c r="E27" s="51"/>
      <c r="G27" s="57"/>
    </row>
    <row r="28" spans="1:7" x14ac:dyDescent="0.25">
      <c r="A28" s="51"/>
      <c r="B28" s="51" t="s">
        <v>20</v>
      </c>
      <c r="C28" s="54"/>
      <c r="D28" s="24">
        <v>60</v>
      </c>
      <c r="E28" s="51"/>
      <c r="G28" s="24">
        <v>65</v>
      </c>
    </row>
    <row r="29" spans="1:7" x14ac:dyDescent="0.25">
      <c r="A29" s="51"/>
      <c r="B29" s="51" t="s">
        <v>18</v>
      </c>
      <c r="C29" s="54"/>
      <c r="D29" s="23">
        <v>225</v>
      </c>
      <c r="E29" s="51"/>
      <c r="G29" s="86">
        <f>+D29</f>
        <v>225</v>
      </c>
    </row>
    <row r="30" spans="1:7" x14ac:dyDescent="0.25">
      <c r="A30" s="51"/>
      <c r="B30" s="71" t="s">
        <v>21</v>
      </c>
      <c r="C30" s="72"/>
      <c r="D30" s="26">
        <f t="shared" ref="D30:D34" si="8">D28*D29</f>
        <v>13500</v>
      </c>
      <c r="E30" s="51"/>
      <c r="G30" s="26">
        <f t="shared" ref="G30:G34" si="9">G28*G29</f>
        <v>14625</v>
      </c>
    </row>
    <row r="31" spans="1:7" x14ac:dyDescent="0.25">
      <c r="A31" s="51"/>
      <c r="B31" s="51"/>
      <c r="C31" s="54"/>
      <c r="D31" s="57"/>
      <c r="E31" s="51"/>
      <c r="G31" s="57"/>
    </row>
    <row r="32" spans="1:7" x14ac:dyDescent="0.25">
      <c r="A32" s="51"/>
      <c r="B32" s="51" t="s">
        <v>86</v>
      </c>
      <c r="C32" s="54"/>
      <c r="D32" s="24">
        <v>60</v>
      </c>
      <c r="E32" s="51"/>
      <c r="G32" s="24">
        <v>65</v>
      </c>
    </row>
    <row r="33" spans="1:7" x14ac:dyDescent="0.25">
      <c r="A33" s="51"/>
      <c r="B33" s="51" t="s">
        <v>18</v>
      </c>
      <c r="C33" s="54"/>
      <c r="D33" s="23">
        <v>450</v>
      </c>
      <c r="E33" s="51"/>
      <c r="G33" s="86">
        <f>+D33</f>
        <v>450</v>
      </c>
    </row>
    <row r="34" spans="1:7" x14ac:dyDescent="0.25">
      <c r="A34" s="51"/>
      <c r="B34" s="71" t="s">
        <v>87</v>
      </c>
      <c r="C34" s="72"/>
      <c r="D34" s="26">
        <f t="shared" si="8"/>
        <v>27000</v>
      </c>
      <c r="E34" s="51"/>
      <c r="G34" s="26">
        <f t="shared" si="9"/>
        <v>29250</v>
      </c>
    </row>
    <row r="35" spans="1:7" x14ac:dyDescent="0.25">
      <c r="A35" s="51"/>
      <c r="B35" s="51"/>
      <c r="C35" s="54"/>
      <c r="D35" s="57"/>
      <c r="E35" s="51"/>
      <c r="G35" s="57"/>
    </row>
    <row r="36" spans="1:7" x14ac:dyDescent="0.25">
      <c r="A36" s="51"/>
      <c r="B36" s="51" t="s">
        <v>22</v>
      </c>
      <c r="C36" s="54"/>
      <c r="E36" s="51"/>
    </row>
    <row r="37" spans="1:7" x14ac:dyDescent="0.25">
      <c r="A37" s="51"/>
      <c r="B37" s="51" t="s">
        <v>18</v>
      </c>
      <c r="C37" s="54"/>
      <c r="D37" s="23"/>
      <c r="E37" s="51"/>
      <c r="G37" s="86">
        <f>+D37</f>
        <v>0</v>
      </c>
    </row>
    <row r="38" spans="1:7" x14ac:dyDescent="0.25">
      <c r="A38" s="51"/>
      <c r="B38" s="71" t="s">
        <v>23</v>
      </c>
      <c r="C38" s="72"/>
      <c r="D38" s="26">
        <f t="shared" ref="D38" si="10">D36*D37</f>
        <v>0</v>
      </c>
      <c r="E38" s="51"/>
      <c r="G38" s="26">
        <f t="shared" ref="G38" si="11">G36*G37</f>
        <v>0</v>
      </c>
    </row>
    <row r="39" spans="1:7" x14ac:dyDescent="0.25">
      <c r="A39" s="51"/>
      <c r="B39" s="51"/>
      <c r="C39" s="54"/>
      <c r="D39" s="57"/>
      <c r="E39" s="51"/>
      <c r="G39" s="57"/>
    </row>
    <row r="40" spans="1:7" s="2" customFormat="1" x14ac:dyDescent="0.25">
      <c r="A40" s="55"/>
      <c r="B40" s="19" t="s">
        <v>27</v>
      </c>
      <c r="C40" s="97">
        <v>1825</v>
      </c>
      <c r="D40" s="27">
        <f>D26+D30+D34+D38</f>
        <v>45000</v>
      </c>
      <c r="E40" s="55"/>
      <c r="G40" s="27">
        <f>G26+G30+G34+G38</f>
        <v>49125</v>
      </c>
    </row>
    <row r="41" spans="1:7" x14ac:dyDescent="0.25">
      <c r="A41" s="51"/>
      <c r="B41" s="51"/>
      <c r="C41" s="54"/>
      <c r="D41" s="57"/>
      <c r="E41" s="51"/>
      <c r="G41" s="57"/>
    </row>
    <row r="42" spans="1:7" x14ac:dyDescent="0.25">
      <c r="A42" s="51"/>
      <c r="B42" s="51" t="s">
        <v>154</v>
      </c>
      <c r="C42" s="54"/>
      <c r="D42" s="24">
        <v>200</v>
      </c>
      <c r="E42" s="51"/>
      <c r="G42" s="24">
        <v>150</v>
      </c>
    </row>
    <row r="43" spans="1:7" x14ac:dyDescent="0.25">
      <c r="A43" s="51"/>
      <c r="B43" s="51" t="s">
        <v>153</v>
      </c>
      <c r="C43" s="54"/>
      <c r="D43" s="23">
        <v>300</v>
      </c>
      <c r="E43" s="51"/>
      <c r="G43" s="86">
        <f>+D43</f>
        <v>300</v>
      </c>
    </row>
    <row r="44" spans="1:7" x14ac:dyDescent="0.25">
      <c r="A44" s="51"/>
      <c r="B44" s="71" t="s">
        <v>26</v>
      </c>
      <c r="C44" s="72"/>
      <c r="D44" s="26">
        <f t="shared" ref="D44" si="12">D42*D43</f>
        <v>60000</v>
      </c>
      <c r="E44" s="51"/>
      <c r="G44" s="26">
        <f t="shared" ref="G44" si="13">G42*G43</f>
        <v>45000</v>
      </c>
    </row>
    <row r="45" spans="1:7" x14ac:dyDescent="0.25">
      <c r="A45" s="51"/>
      <c r="B45" s="51"/>
      <c r="C45" s="54"/>
      <c r="D45" s="57"/>
      <c r="E45" s="51"/>
      <c r="G45" s="57"/>
    </row>
    <row r="46" spans="1:7" x14ac:dyDescent="0.25">
      <c r="A46" s="51"/>
      <c r="B46" s="51" t="s">
        <v>24</v>
      </c>
      <c r="C46" s="54"/>
      <c r="E46" s="51"/>
    </row>
    <row r="47" spans="1:7" x14ac:dyDescent="0.25">
      <c r="A47" s="51"/>
      <c r="B47" s="51" t="s">
        <v>25</v>
      </c>
      <c r="C47" s="54"/>
      <c r="D47" s="23"/>
      <c r="E47" s="51"/>
      <c r="G47" s="86">
        <f>+D47</f>
        <v>0</v>
      </c>
    </row>
    <row r="48" spans="1:7" x14ac:dyDescent="0.25">
      <c r="A48" s="51"/>
      <c r="B48" s="71" t="s">
        <v>26</v>
      </c>
      <c r="C48" s="72"/>
      <c r="D48" s="26">
        <f t="shared" ref="D48" si="14">D46*D47</f>
        <v>0</v>
      </c>
      <c r="E48" s="51"/>
      <c r="G48" s="26">
        <f t="shared" ref="G48" si="15">G46*G47</f>
        <v>0</v>
      </c>
    </row>
    <row r="49" spans="1:7" x14ac:dyDescent="0.25">
      <c r="A49" s="51"/>
      <c r="B49" s="51"/>
      <c r="C49" s="54"/>
      <c r="D49" s="57"/>
      <c r="E49" s="51"/>
      <c r="G49" s="57"/>
    </row>
    <row r="50" spans="1:7" x14ac:dyDescent="0.25">
      <c r="A50" s="51"/>
      <c r="B50" s="51" t="s">
        <v>28</v>
      </c>
      <c r="C50" s="54"/>
      <c r="D50" s="23"/>
      <c r="E50" s="51"/>
      <c r="G50" s="23"/>
    </row>
    <row r="51" spans="1:7" x14ac:dyDescent="0.25">
      <c r="A51" s="51"/>
      <c r="B51" s="51"/>
      <c r="C51" s="54"/>
      <c r="D51" s="57"/>
      <c r="E51" s="51"/>
      <c r="G51" s="57"/>
    </row>
    <row r="52" spans="1:7" x14ac:dyDescent="0.25">
      <c r="A52" s="51"/>
      <c r="B52" s="51" t="s">
        <v>29</v>
      </c>
      <c r="C52" s="54"/>
      <c r="D52" s="28">
        <f>+D44+D48+D50</f>
        <v>60000</v>
      </c>
      <c r="E52" s="51"/>
      <c r="G52" s="28">
        <f>+G44+G48+G50</f>
        <v>45000</v>
      </c>
    </row>
    <row r="53" spans="1:7" s="2" customFormat="1" x14ac:dyDescent="0.25">
      <c r="A53" s="55"/>
      <c r="B53" s="19" t="s">
        <v>219</v>
      </c>
      <c r="C53" s="97">
        <v>1830</v>
      </c>
      <c r="D53" s="27">
        <f>D52*0.8</f>
        <v>48000</v>
      </c>
      <c r="E53" s="55"/>
      <c r="G53" s="27">
        <f>G52*0.8</f>
        <v>36000</v>
      </c>
    </row>
    <row r="54" spans="1:7" x14ac:dyDescent="0.25">
      <c r="A54" s="51"/>
      <c r="B54" s="51"/>
      <c r="C54" s="54"/>
      <c r="D54" s="57"/>
      <c r="E54" s="51"/>
      <c r="G54" s="57"/>
    </row>
    <row r="55" spans="1:7" x14ac:dyDescent="0.25">
      <c r="A55" s="51"/>
      <c r="B55" s="51"/>
      <c r="C55" s="54"/>
      <c r="D55" s="57"/>
      <c r="E55" s="51"/>
      <c r="G55" s="57"/>
    </row>
    <row r="56" spans="1:7" x14ac:dyDescent="0.25">
      <c r="A56" s="51"/>
      <c r="B56" s="51" t="s">
        <v>31</v>
      </c>
      <c r="C56" s="54"/>
      <c r="D56" s="23">
        <v>1</v>
      </c>
      <c r="E56" s="51"/>
      <c r="G56" s="23">
        <v>1</v>
      </c>
    </row>
    <row r="57" spans="1:7" x14ac:dyDescent="0.25">
      <c r="A57" s="51"/>
      <c r="B57" s="51" t="s">
        <v>32</v>
      </c>
      <c r="C57" s="54"/>
      <c r="D57" s="23">
        <v>100000</v>
      </c>
      <c r="E57" s="51"/>
      <c r="G57" s="86">
        <f>+D57</f>
        <v>100000</v>
      </c>
    </row>
    <row r="58" spans="1:7" x14ac:dyDescent="0.25">
      <c r="A58" s="51"/>
      <c r="B58" s="71" t="s">
        <v>33</v>
      </c>
      <c r="C58" s="72"/>
      <c r="D58" s="26">
        <f t="shared" ref="D58" si="16">D56*D57</f>
        <v>100000</v>
      </c>
      <c r="E58" s="51"/>
      <c r="G58" s="26">
        <f t="shared" ref="G58" si="17">G56*G57</f>
        <v>100000</v>
      </c>
    </row>
    <row r="59" spans="1:7" x14ac:dyDescent="0.25">
      <c r="A59" s="51"/>
      <c r="B59" s="51"/>
      <c r="C59" s="54"/>
      <c r="D59" s="57"/>
      <c r="E59" s="51"/>
      <c r="G59" s="57"/>
    </row>
    <row r="60" spans="1:7" x14ac:dyDescent="0.25">
      <c r="A60" s="51"/>
      <c r="B60" s="51" t="s">
        <v>34</v>
      </c>
      <c r="C60" s="54"/>
      <c r="D60" s="23">
        <v>1</v>
      </c>
      <c r="E60" s="51"/>
      <c r="G60" s="23">
        <v>1</v>
      </c>
    </row>
    <row r="61" spans="1:7" x14ac:dyDescent="0.25">
      <c r="A61" s="51"/>
      <c r="B61" s="51" t="s">
        <v>35</v>
      </c>
      <c r="C61" s="54"/>
      <c r="D61" s="23">
        <v>20000</v>
      </c>
      <c r="E61" s="51"/>
      <c r="G61" s="86">
        <f>+D61</f>
        <v>20000</v>
      </c>
    </row>
    <row r="62" spans="1:7" x14ac:dyDescent="0.25">
      <c r="A62" s="51"/>
      <c r="B62" s="71" t="s">
        <v>36</v>
      </c>
      <c r="C62" s="72"/>
      <c r="D62" s="26">
        <f t="shared" ref="D62" si="18">D60*D61</f>
        <v>20000</v>
      </c>
      <c r="E62" s="51"/>
      <c r="G62" s="26">
        <f t="shared" ref="G62" si="19">G60*G61</f>
        <v>20000</v>
      </c>
    </row>
    <row r="63" spans="1:7" x14ac:dyDescent="0.25">
      <c r="A63" s="51"/>
      <c r="B63" s="51"/>
      <c r="C63" s="54"/>
      <c r="D63" s="57"/>
      <c r="E63" s="51"/>
      <c r="G63" s="57"/>
    </row>
    <row r="64" spans="1:7" x14ac:dyDescent="0.25">
      <c r="A64" s="51"/>
      <c r="B64" s="51" t="s">
        <v>37</v>
      </c>
      <c r="C64" s="54"/>
      <c r="D64" s="23">
        <v>1</v>
      </c>
      <c r="E64" s="51"/>
      <c r="G64" s="23">
        <v>0</v>
      </c>
    </row>
    <row r="65" spans="1:7" x14ac:dyDescent="0.25">
      <c r="A65" s="51"/>
      <c r="B65" s="51" t="s">
        <v>38</v>
      </c>
      <c r="C65" s="54"/>
      <c r="D65" s="23">
        <v>10000</v>
      </c>
      <c r="E65" s="51"/>
      <c r="G65" s="86">
        <f>+D65</f>
        <v>10000</v>
      </c>
    </row>
    <row r="66" spans="1:7" x14ac:dyDescent="0.25">
      <c r="A66" s="51"/>
      <c r="B66" s="71" t="s">
        <v>39</v>
      </c>
      <c r="C66" s="72"/>
      <c r="D66" s="26">
        <f t="shared" ref="D66" si="20">D64*D65</f>
        <v>10000</v>
      </c>
      <c r="E66" s="51"/>
      <c r="G66" s="26">
        <f t="shared" ref="G66" si="21">G64*G65</f>
        <v>0</v>
      </c>
    </row>
    <row r="67" spans="1:7" x14ac:dyDescent="0.25">
      <c r="A67" s="51"/>
      <c r="B67" s="51"/>
      <c r="C67" s="54"/>
      <c r="D67" s="57"/>
      <c r="E67" s="51"/>
      <c r="G67" s="57"/>
    </row>
    <row r="68" spans="1:7" x14ac:dyDescent="0.25">
      <c r="A68" s="51"/>
      <c r="B68" s="51" t="s">
        <v>40</v>
      </c>
      <c r="C68" s="54"/>
      <c r="D68" s="23">
        <v>0</v>
      </c>
      <c r="E68" s="51"/>
      <c r="G68" s="23">
        <v>1</v>
      </c>
    </row>
    <row r="69" spans="1:7" x14ac:dyDescent="0.25">
      <c r="A69" s="51"/>
      <c r="B69" s="51" t="s">
        <v>41</v>
      </c>
      <c r="C69" s="54"/>
      <c r="D69" s="23">
        <v>5000</v>
      </c>
      <c r="E69" s="51"/>
      <c r="G69" s="86">
        <f>+D69</f>
        <v>5000</v>
      </c>
    </row>
    <row r="70" spans="1:7" x14ac:dyDescent="0.25">
      <c r="A70" s="51"/>
      <c r="B70" s="71" t="s">
        <v>42</v>
      </c>
      <c r="C70" s="72"/>
      <c r="D70" s="26">
        <f t="shared" ref="D70" si="22">D68*D69</f>
        <v>0</v>
      </c>
      <c r="E70" s="51"/>
      <c r="G70" s="26">
        <f t="shared" ref="G70" si="23">G68*G69</f>
        <v>5000</v>
      </c>
    </row>
    <row r="71" spans="1:7" x14ac:dyDescent="0.25">
      <c r="A71" s="51"/>
      <c r="B71" s="51"/>
      <c r="C71" s="54"/>
      <c r="D71" s="57"/>
      <c r="E71" s="51"/>
      <c r="G71" s="57"/>
    </row>
    <row r="72" spans="1:7" s="2" customFormat="1" x14ac:dyDescent="0.25">
      <c r="A72" s="55"/>
      <c r="B72" s="19" t="s">
        <v>43</v>
      </c>
      <c r="C72" s="97">
        <v>1210</v>
      </c>
      <c r="D72" s="29">
        <f>D58+D62+D66+D70</f>
        <v>130000</v>
      </c>
      <c r="E72" s="55"/>
      <c r="G72" s="29">
        <f>G58+G62+G66+G70</f>
        <v>125000</v>
      </c>
    </row>
    <row r="73" spans="1:7" x14ac:dyDescent="0.25">
      <c r="A73" s="51"/>
      <c r="B73" s="51"/>
      <c r="C73" s="54"/>
      <c r="D73" s="57"/>
      <c r="E73" s="51"/>
      <c r="G73" s="57"/>
    </row>
    <row r="74" spans="1:7" s="2" customFormat="1" x14ac:dyDescent="0.25">
      <c r="A74" s="55"/>
      <c r="B74" s="55" t="s">
        <v>44</v>
      </c>
      <c r="C74" s="98">
        <v>1230</v>
      </c>
      <c r="D74" s="87"/>
      <c r="E74" s="55"/>
      <c r="G74" s="87">
        <v>15000</v>
      </c>
    </row>
    <row r="75" spans="1:7" x14ac:dyDescent="0.25">
      <c r="A75" s="51"/>
      <c r="B75" s="51"/>
      <c r="C75" s="54"/>
      <c r="D75" s="57"/>
      <c r="E75" s="51"/>
      <c r="G75" s="57"/>
    </row>
    <row r="76" spans="1:7" s="2" customFormat="1" x14ac:dyDescent="0.25">
      <c r="A76" s="55"/>
      <c r="B76" s="55" t="s">
        <v>45</v>
      </c>
      <c r="C76" s="98">
        <v>1330</v>
      </c>
      <c r="D76" s="87"/>
      <c r="E76" s="55"/>
      <c r="G76" s="87"/>
    </row>
    <row r="77" spans="1:7" x14ac:dyDescent="0.25">
      <c r="A77" s="51"/>
      <c r="B77" s="51"/>
      <c r="C77" s="54"/>
      <c r="D77" s="57"/>
      <c r="E77" s="51"/>
      <c r="G77" s="57"/>
    </row>
    <row r="78" spans="1:7" s="2" customFormat="1" x14ac:dyDescent="0.25">
      <c r="A78" s="55"/>
      <c r="B78" s="55" t="s">
        <v>48</v>
      </c>
      <c r="C78" s="98">
        <v>1905</v>
      </c>
      <c r="D78" s="87"/>
      <c r="E78" s="55"/>
      <c r="G78" s="87"/>
    </row>
    <row r="79" spans="1:7" x14ac:dyDescent="0.25">
      <c r="A79" s="51"/>
      <c r="B79" s="51"/>
      <c r="C79" s="54"/>
      <c r="D79" s="57"/>
      <c r="E79" s="51"/>
      <c r="G79" s="57"/>
    </row>
    <row r="80" spans="1:7" s="2" customFormat="1" x14ac:dyDescent="0.25">
      <c r="A80" s="55"/>
      <c r="B80" s="55" t="s">
        <v>49</v>
      </c>
      <c r="C80" s="70"/>
      <c r="D80" s="87">
        <v>5000</v>
      </c>
      <c r="E80" s="55"/>
      <c r="G80" s="87">
        <v>3000</v>
      </c>
    </row>
    <row r="81" spans="1:7" x14ac:dyDescent="0.25">
      <c r="A81" s="51"/>
      <c r="B81" s="19" t="s">
        <v>50</v>
      </c>
      <c r="C81" s="97">
        <v>1910</v>
      </c>
      <c r="D81" s="27">
        <f>D80*0.8</f>
        <v>4000</v>
      </c>
      <c r="E81" s="51"/>
      <c r="G81" s="27">
        <f>G80*0.8</f>
        <v>2400</v>
      </c>
    </row>
    <row r="82" spans="1:7" x14ac:dyDescent="0.25">
      <c r="A82" s="51"/>
      <c r="B82" s="51"/>
      <c r="C82" s="54"/>
      <c r="D82" s="57"/>
      <c r="E82" s="51"/>
      <c r="G82" s="57"/>
    </row>
    <row r="83" spans="1:7" s="2" customFormat="1" ht="15.5" thickBot="1" x14ac:dyDescent="0.35">
      <c r="A83" s="55"/>
      <c r="B83" s="76" t="s">
        <v>53</v>
      </c>
      <c r="C83" s="77"/>
      <c r="D83" s="30">
        <f>D22+D40+D53+D72+D74+D76+D78+D81</f>
        <v>539500</v>
      </c>
      <c r="E83" s="55"/>
      <c r="G83" s="30">
        <f>G22+G40+G53+G72+G74+G76+G78+G81</f>
        <v>632525</v>
      </c>
    </row>
    <row r="84" spans="1:7" ht="14" thickTop="1" x14ac:dyDescent="0.25">
      <c r="A84" s="58"/>
      <c r="B84" s="58"/>
      <c r="C84" s="73"/>
      <c r="D84" s="74"/>
      <c r="E84" s="58"/>
      <c r="G84" s="7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87"/>
  <sheetViews>
    <sheetView zoomScale="85" zoomScaleNormal="85" workbookViewId="0">
      <pane ySplit="21" topLeftCell="A22" activePane="bottomLeft" state="frozen"/>
      <selection pane="bottomLeft" activeCell="K17" sqref="K17"/>
    </sheetView>
  </sheetViews>
  <sheetFormatPr defaultColWidth="9.1796875" defaultRowHeight="13.5" x14ac:dyDescent="0.25"/>
  <cols>
    <col min="1" max="1" width="9.1796875" style="1"/>
    <col min="2" max="2" width="63.36328125" style="10" customWidth="1"/>
    <col min="3" max="3" width="7.36328125" style="1" customWidth="1"/>
    <col min="4" max="4" width="10" style="6" customWidth="1"/>
    <col min="5" max="5" width="40.1796875" style="1" bestFit="1" customWidth="1"/>
    <col min="6" max="6" width="9.81640625" style="1" customWidth="1"/>
    <col min="7" max="7" width="9.1796875" style="1"/>
    <col min="8" max="8" width="40.1796875" style="1" bestFit="1" customWidth="1"/>
    <col min="9" max="9" width="9.81640625" style="1" customWidth="1"/>
    <col min="10" max="16384" width="9.1796875" style="1"/>
  </cols>
  <sheetData>
    <row r="1" spans="1:9" ht="17.5" x14ac:dyDescent="0.35">
      <c r="A1" s="83"/>
      <c r="B1" s="83"/>
      <c r="C1" s="84"/>
      <c r="D1" s="84"/>
      <c r="E1" s="85" t="s">
        <v>220</v>
      </c>
      <c r="F1" s="83"/>
      <c r="G1" s="83"/>
      <c r="H1" s="85" t="s">
        <v>221</v>
      </c>
      <c r="I1" s="83"/>
    </row>
    <row r="2" spans="1:9" x14ac:dyDescent="0.25">
      <c r="A2" s="50"/>
      <c r="B2" s="60"/>
      <c r="C2" s="51"/>
      <c r="D2" s="54"/>
      <c r="E2" s="54"/>
      <c r="F2" s="51"/>
      <c r="H2" s="54"/>
      <c r="I2" s="51"/>
    </row>
    <row r="3" spans="1:9" ht="15.75" customHeight="1" x14ac:dyDescent="0.25">
      <c r="A3" s="51"/>
      <c r="B3" s="61" t="s">
        <v>54</v>
      </c>
      <c r="C3" s="62"/>
      <c r="D3" s="63"/>
      <c r="E3" s="22" t="str">
        <f>Budgetoversigt!E3</f>
        <v>Stævne ABC</v>
      </c>
      <c r="F3" s="13"/>
      <c r="H3" s="22" t="str">
        <f>+E3</f>
        <v>Stævne ABC</v>
      </c>
      <c r="I3" s="13"/>
    </row>
    <row r="4" spans="1:9" x14ac:dyDescent="0.25">
      <c r="A4" s="51"/>
      <c r="B4" s="61"/>
      <c r="C4" s="62"/>
      <c r="D4" s="63"/>
      <c r="E4" s="63"/>
      <c r="F4" s="13"/>
      <c r="H4" s="63"/>
      <c r="I4" s="13"/>
    </row>
    <row r="5" spans="1:9" x14ac:dyDescent="0.25">
      <c r="A5" s="51"/>
      <c r="B5" s="61" t="s">
        <v>55</v>
      </c>
      <c r="C5" s="62"/>
      <c r="D5" s="63"/>
      <c r="E5" s="22">
        <f>+Indtægter!D5</f>
        <v>100</v>
      </c>
      <c r="F5" s="13"/>
      <c r="H5" s="22">
        <f>+Indtægter!G5</f>
        <v>130</v>
      </c>
      <c r="I5" s="13"/>
    </row>
    <row r="6" spans="1:9" x14ac:dyDescent="0.25">
      <c r="A6" s="51"/>
      <c r="B6" s="60" t="s">
        <v>222</v>
      </c>
      <c r="C6" s="1">
        <v>4</v>
      </c>
      <c r="D6" s="54"/>
      <c r="E6" s="5">
        <f>+E5*C6</f>
        <v>400</v>
      </c>
      <c r="F6" s="11"/>
      <c r="H6" s="22">
        <f>+H5*C6</f>
        <v>520</v>
      </c>
      <c r="I6" s="11"/>
    </row>
    <row r="7" spans="1:9" x14ac:dyDescent="0.25">
      <c r="A7" s="51"/>
      <c r="B7" s="60" t="s">
        <v>197</v>
      </c>
      <c r="C7" s="51"/>
      <c r="D7" s="54"/>
      <c r="E7" s="5">
        <f>+Indtægter!D9</f>
        <v>25</v>
      </c>
      <c r="F7" s="11"/>
      <c r="H7" s="22">
        <f>+Indtægter!G9</f>
        <v>30</v>
      </c>
      <c r="I7" s="11"/>
    </row>
    <row r="8" spans="1:9" x14ac:dyDescent="0.25">
      <c r="A8" s="51"/>
      <c r="B8" s="61" t="s">
        <v>81</v>
      </c>
      <c r="C8" s="62"/>
      <c r="D8" s="63"/>
      <c r="E8" s="5">
        <f>+E6+Indtægter!D24</f>
        <v>430</v>
      </c>
      <c r="F8" s="11"/>
      <c r="H8" s="5">
        <f>+H6+Indtægter!G24</f>
        <v>555</v>
      </c>
      <c r="I8" s="11"/>
    </row>
    <row r="9" spans="1:9" x14ac:dyDescent="0.25">
      <c r="A9" s="51"/>
      <c r="B9" s="61" t="s">
        <v>88</v>
      </c>
      <c r="C9" s="62"/>
      <c r="D9" s="63"/>
      <c r="E9" s="5">
        <f>+E6+Indtægter!D28</f>
        <v>460</v>
      </c>
      <c r="F9" s="11"/>
      <c r="H9" s="5">
        <f>+H6+Indtægter!G28</f>
        <v>585</v>
      </c>
      <c r="I9" s="11"/>
    </row>
    <row r="10" spans="1:9" x14ac:dyDescent="0.25">
      <c r="A10" s="51"/>
      <c r="B10" s="61" t="s">
        <v>89</v>
      </c>
      <c r="C10" s="62"/>
      <c r="D10" s="63"/>
      <c r="E10" s="22">
        <f>+E6+Indtægter!D32</f>
        <v>460</v>
      </c>
      <c r="F10" s="13"/>
      <c r="H10" s="22">
        <f>+H6+Indtægter!G32</f>
        <v>585</v>
      </c>
      <c r="I10" s="13"/>
    </row>
    <row r="11" spans="1:9" x14ac:dyDescent="0.25">
      <c r="A11" s="51"/>
      <c r="B11" s="61" t="s">
        <v>90</v>
      </c>
      <c r="C11" s="62"/>
      <c r="D11" s="63"/>
      <c r="E11" s="22">
        <f>Indtægter!D36</f>
        <v>0</v>
      </c>
      <c r="F11" s="13"/>
      <c r="H11" s="22">
        <f>Indtægter!G36</f>
        <v>0</v>
      </c>
      <c r="I11" s="13"/>
    </row>
    <row r="12" spans="1:9" x14ac:dyDescent="0.25">
      <c r="A12" s="51"/>
      <c r="B12" s="60" t="s">
        <v>56</v>
      </c>
      <c r="C12" s="51"/>
      <c r="D12" s="54"/>
      <c r="E12" s="1">
        <v>30</v>
      </c>
      <c r="F12" s="11"/>
      <c r="H12" s="1">
        <v>25</v>
      </c>
      <c r="I12" s="11"/>
    </row>
    <row r="13" spans="1:9" x14ac:dyDescent="0.25">
      <c r="A13" s="51"/>
      <c r="B13" s="60" t="s">
        <v>91</v>
      </c>
      <c r="C13" s="51"/>
      <c r="D13" s="54"/>
      <c r="E13" s="1">
        <v>30</v>
      </c>
      <c r="F13" s="11"/>
      <c r="H13" s="1">
        <v>25</v>
      </c>
      <c r="I13" s="11"/>
    </row>
    <row r="14" spans="1:9" x14ac:dyDescent="0.25">
      <c r="A14" s="51"/>
      <c r="B14" s="60" t="s">
        <v>92</v>
      </c>
      <c r="C14" s="51"/>
      <c r="D14" s="54"/>
      <c r="E14" s="1">
        <v>30</v>
      </c>
      <c r="F14" s="11"/>
      <c r="H14" s="1">
        <v>25</v>
      </c>
      <c r="I14" s="11"/>
    </row>
    <row r="15" spans="1:9" x14ac:dyDescent="0.25">
      <c r="A15" s="51"/>
      <c r="B15" s="60" t="s">
        <v>93</v>
      </c>
      <c r="C15" s="51"/>
      <c r="D15" s="54"/>
      <c r="E15" s="1">
        <v>30</v>
      </c>
      <c r="F15" s="11"/>
      <c r="H15" s="1">
        <v>25</v>
      </c>
      <c r="I15" s="11"/>
    </row>
    <row r="16" spans="1:9" x14ac:dyDescent="0.25">
      <c r="A16" s="51"/>
      <c r="B16" s="60" t="s">
        <v>94</v>
      </c>
      <c r="C16" s="51"/>
      <c r="D16" s="54"/>
      <c r="E16" s="1">
        <v>10</v>
      </c>
      <c r="F16" s="11"/>
      <c r="H16" s="1">
        <v>15</v>
      </c>
      <c r="I16" s="11"/>
    </row>
    <row r="17" spans="1:9" x14ac:dyDescent="0.25">
      <c r="A17" s="51"/>
      <c r="B17" s="60" t="s">
        <v>95</v>
      </c>
      <c r="C17" s="51"/>
      <c r="D17" s="54"/>
      <c r="E17" s="1">
        <v>20</v>
      </c>
      <c r="F17" s="11"/>
      <c r="H17" s="1">
        <v>20</v>
      </c>
      <c r="I17" s="11"/>
    </row>
    <row r="18" spans="1:9" x14ac:dyDescent="0.25">
      <c r="A18" s="51"/>
      <c r="B18" s="60" t="s">
        <v>57</v>
      </c>
      <c r="C18" s="51"/>
      <c r="D18" s="54"/>
      <c r="F18" s="11"/>
      <c r="I18" s="11"/>
    </row>
    <row r="19" spans="1:9" x14ac:dyDescent="0.25">
      <c r="A19" s="51"/>
      <c r="B19" s="60" t="s">
        <v>58</v>
      </c>
      <c r="C19" s="51"/>
      <c r="D19" s="54"/>
      <c r="E19" s="5">
        <f>+Budgetoversigt!E6</f>
        <v>5</v>
      </c>
      <c r="F19" s="11"/>
      <c r="H19" s="5">
        <f>+E19</f>
        <v>5</v>
      </c>
      <c r="I19" s="11"/>
    </row>
    <row r="20" spans="1:9" x14ac:dyDescent="0.25">
      <c r="A20" s="51"/>
      <c r="B20" s="60" t="s">
        <v>59</v>
      </c>
      <c r="C20" s="51"/>
      <c r="D20" s="54"/>
      <c r="E20" s="1">
        <v>0</v>
      </c>
      <c r="F20" s="11"/>
      <c r="H20" s="5">
        <f>+E20</f>
        <v>0</v>
      </c>
      <c r="I20" s="11"/>
    </row>
    <row r="21" spans="1:9" x14ac:dyDescent="0.25">
      <c r="A21" s="51"/>
      <c r="B21" s="60"/>
      <c r="C21" s="51"/>
      <c r="D21" s="52" t="s">
        <v>15</v>
      </c>
      <c r="E21" s="51"/>
      <c r="F21" s="33" t="s">
        <v>198</v>
      </c>
      <c r="H21" s="51"/>
      <c r="I21" s="33" t="s">
        <v>198</v>
      </c>
    </row>
    <row r="22" spans="1:9" x14ac:dyDescent="0.25">
      <c r="A22" s="51"/>
      <c r="B22" s="60"/>
      <c r="C22" s="51"/>
      <c r="D22" s="64"/>
      <c r="E22" s="51"/>
      <c r="F22" s="33"/>
      <c r="H22" s="51"/>
      <c r="I22" s="33"/>
    </row>
    <row r="23" spans="1:9" s="7" customFormat="1" x14ac:dyDescent="0.25">
      <c r="A23" s="65"/>
      <c r="B23" s="66" t="s">
        <v>103</v>
      </c>
      <c r="C23" s="65"/>
      <c r="D23" s="67"/>
      <c r="E23" s="7">
        <v>50</v>
      </c>
      <c r="F23" s="38">
        <f>(E6+E7+E12)*E19</f>
        <v>2275</v>
      </c>
      <c r="H23" s="7">
        <v>50</v>
      </c>
      <c r="I23" s="38">
        <f>(H6+H7+H12)*H19</f>
        <v>2875</v>
      </c>
    </row>
    <row r="24" spans="1:9" x14ac:dyDescent="0.25">
      <c r="A24" s="51"/>
      <c r="B24" s="60" t="s">
        <v>104</v>
      </c>
      <c r="C24" s="51"/>
      <c r="D24" s="54"/>
      <c r="E24" s="21">
        <f>(E6+E12)*E19*E23</f>
        <v>107500</v>
      </c>
      <c r="F24" s="32"/>
      <c r="H24" s="21">
        <f>(H6+H12)*H19*H23</f>
        <v>136250</v>
      </c>
      <c r="I24" s="32"/>
    </row>
    <row r="25" spans="1:9" x14ac:dyDescent="0.25">
      <c r="A25" s="51"/>
      <c r="B25" s="60"/>
      <c r="C25" s="51"/>
      <c r="D25" s="54"/>
      <c r="E25" s="51"/>
      <c r="F25" s="32"/>
      <c r="H25" s="51"/>
      <c r="I25" s="32"/>
    </row>
    <row r="26" spans="1:9" s="7" customFormat="1" x14ac:dyDescent="0.25">
      <c r="A26" s="65"/>
      <c r="B26" s="66" t="s">
        <v>97</v>
      </c>
      <c r="C26" s="65"/>
      <c r="D26" s="67"/>
      <c r="E26" s="7">
        <v>50</v>
      </c>
      <c r="F26" s="38">
        <f>+E12*E19</f>
        <v>150</v>
      </c>
      <c r="H26" s="7">
        <v>50</v>
      </c>
      <c r="I26" s="38">
        <f>+H12*H19</f>
        <v>125</v>
      </c>
    </row>
    <row r="27" spans="1:9" x14ac:dyDescent="0.25">
      <c r="A27" s="51"/>
      <c r="B27" s="60" t="s">
        <v>96</v>
      </c>
      <c r="C27" s="51"/>
      <c r="D27" s="54"/>
      <c r="E27" s="21">
        <f>E12*E19*E26</f>
        <v>7500</v>
      </c>
      <c r="F27" s="32"/>
      <c r="H27" s="21">
        <f>H12*H19*H26</f>
        <v>6250</v>
      </c>
      <c r="I27" s="32"/>
    </row>
    <row r="28" spans="1:9" x14ac:dyDescent="0.25">
      <c r="A28" s="51"/>
      <c r="B28" s="60"/>
      <c r="C28" s="51"/>
      <c r="D28" s="54"/>
      <c r="E28" s="51"/>
      <c r="F28" s="32"/>
      <c r="H28" s="51"/>
      <c r="I28" s="32"/>
    </row>
    <row r="29" spans="1:9" s="7" customFormat="1" x14ac:dyDescent="0.25">
      <c r="A29" s="65"/>
      <c r="B29" s="66" t="s">
        <v>199</v>
      </c>
      <c r="C29" s="65"/>
      <c r="D29" s="67"/>
      <c r="E29" s="7">
        <v>30</v>
      </c>
      <c r="F29" s="38">
        <f>(E6+E7)*E19</f>
        <v>2125</v>
      </c>
      <c r="H29" s="7">
        <v>30</v>
      </c>
      <c r="I29" s="38">
        <f>(H6+H7)*H19</f>
        <v>2750</v>
      </c>
    </row>
    <row r="30" spans="1:9" x14ac:dyDescent="0.25">
      <c r="A30" s="51"/>
      <c r="B30" s="60" t="s">
        <v>98</v>
      </c>
      <c r="C30" s="51"/>
      <c r="D30" s="54"/>
      <c r="E30" s="21">
        <f>(E6+E12)*E19*E29</f>
        <v>64500</v>
      </c>
      <c r="F30" s="32"/>
      <c r="H30" s="21">
        <f>(H6+H12)*H19*H29</f>
        <v>81750</v>
      </c>
      <c r="I30" s="32"/>
    </row>
    <row r="31" spans="1:9" x14ac:dyDescent="0.25">
      <c r="A31" s="51"/>
      <c r="B31" s="60"/>
      <c r="C31" s="51"/>
      <c r="D31" s="54"/>
      <c r="E31" s="51"/>
      <c r="F31" s="32"/>
      <c r="H31" s="51"/>
      <c r="I31" s="32"/>
    </row>
    <row r="32" spans="1:9" s="7" customFormat="1" x14ac:dyDescent="0.25">
      <c r="A32" s="65"/>
      <c r="B32" s="66" t="s">
        <v>99</v>
      </c>
      <c r="C32" s="65"/>
      <c r="D32" s="67"/>
      <c r="E32" s="7">
        <v>0</v>
      </c>
      <c r="F32" s="39"/>
      <c r="H32" s="7">
        <v>0</v>
      </c>
      <c r="I32" s="39"/>
    </row>
    <row r="33" spans="1:9" x14ac:dyDescent="0.25">
      <c r="A33" s="51"/>
      <c r="B33" s="60" t="s">
        <v>100</v>
      </c>
      <c r="C33" s="51"/>
      <c r="D33" s="54"/>
      <c r="E33" s="21">
        <f>(E6+E12)*E19*E32</f>
        <v>0</v>
      </c>
      <c r="F33" s="32"/>
      <c r="H33" s="21">
        <f>(H6+H12)*H19*H32</f>
        <v>0</v>
      </c>
      <c r="I33" s="32"/>
    </row>
    <row r="34" spans="1:9" x14ac:dyDescent="0.25">
      <c r="A34" s="51"/>
      <c r="B34" s="60"/>
      <c r="C34" s="51"/>
      <c r="D34" s="54"/>
      <c r="E34" s="51"/>
      <c r="F34" s="32"/>
      <c r="H34" s="51"/>
      <c r="I34" s="32"/>
    </row>
    <row r="35" spans="1:9" s="7" customFormat="1" x14ac:dyDescent="0.25">
      <c r="A35" s="65"/>
      <c r="B35" s="66" t="s">
        <v>102</v>
      </c>
      <c r="C35" s="65"/>
      <c r="D35" s="67"/>
      <c r="E35" s="7">
        <v>30</v>
      </c>
      <c r="F35" s="38">
        <f>(E6+E7+E12+E16+E17)</f>
        <v>485</v>
      </c>
      <c r="H35" s="7">
        <v>30</v>
      </c>
      <c r="I35" s="38">
        <f>(H6+H7+H12+H16+H17)</f>
        <v>610</v>
      </c>
    </row>
    <row r="36" spans="1:9" x14ac:dyDescent="0.25">
      <c r="A36" s="51"/>
      <c r="B36" s="60" t="s">
        <v>101</v>
      </c>
      <c r="C36" s="51"/>
      <c r="D36" s="54"/>
      <c r="E36" s="21">
        <f>(E6+E7+E12+E16+E17)*E35</f>
        <v>14550</v>
      </c>
      <c r="F36" s="32"/>
      <c r="H36" s="21">
        <f>(H6+H7+H12+H16+H17)*H35</f>
        <v>18300</v>
      </c>
      <c r="I36" s="32"/>
    </row>
    <row r="37" spans="1:9" x14ac:dyDescent="0.25">
      <c r="A37" s="51"/>
      <c r="B37" s="60"/>
      <c r="C37" s="51"/>
      <c r="D37" s="54"/>
      <c r="E37" s="51"/>
      <c r="F37" s="32"/>
      <c r="H37" s="51"/>
      <c r="I37" s="32"/>
    </row>
    <row r="38" spans="1:9" s="7" customFormat="1" x14ac:dyDescent="0.25">
      <c r="A38" s="65"/>
      <c r="B38" s="66" t="s">
        <v>106</v>
      </c>
      <c r="C38" s="65"/>
      <c r="D38" s="67"/>
      <c r="E38" s="7">
        <v>145</v>
      </c>
      <c r="F38" s="38">
        <f>(E7+E9+E12)</f>
        <v>515</v>
      </c>
      <c r="H38" s="7">
        <v>145</v>
      </c>
      <c r="I38" s="38">
        <f>(H7+H9+H12)</f>
        <v>640</v>
      </c>
    </row>
    <row r="39" spans="1:9" x14ac:dyDescent="0.25">
      <c r="A39" s="51"/>
      <c r="B39" s="60" t="s">
        <v>107</v>
      </c>
      <c r="C39" s="51"/>
      <c r="D39" s="54"/>
      <c r="E39" s="21">
        <f>(E7+E9+E12)*E38</f>
        <v>74675</v>
      </c>
      <c r="F39" s="32"/>
      <c r="H39" s="21">
        <f>(H7+H9+H12)*H38</f>
        <v>92800</v>
      </c>
      <c r="I39" s="32"/>
    </row>
    <row r="40" spans="1:9" x14ac:dyDescent="0.25">
      <c r="A40" s="51"/>
      <c r="B40" s="60"/>
      <c r="C40" s="51"/>
      <c r="D40" s="54"/>
      <c r="E40" s="51"/>
      <c r="F40" s="32"/>
      <c r="H40" s="51"/>
      <c r="I40" s="32"/>
    </row>
    <row r="41" spans="1:9" s="7" customFormat="1" x14ac:dyDescent="0.25">
      <c r="A41" s="65"/>
      <c r="B41" s="66" t="s">
        <v>108</v>
      </c>
      <c r="C41" s="65"/>
      <c r="D41" s="67"/>
      <c r="F41" s="39"/>
      <c r="I41" s="39"/>
    </row>
    <row r="42" spans="1:9" x14ac:dyDescent="0.25">
      <c r="A42" s="51"/>
      <c r="B42" s="60" t="s">
        <v>109</v>
      </c>
      <c r="C42" s="51"/>
      <c r="D42" s="54"/>
      <c r="E42" s="21">
        <f>(E9+E14)*E41</f>
        <v>0</v>
      </c>
      <c r="F42" s="32"/>
      <c r="H42" s="21">
        <f>(H9+H14)*H41</f>
        <v>0</v>
      </c>
      <c r="I42" s="32"/>
    </row>
    <row r="43" spans="1:9" x14ac:dyDescent="0.25">
      <c r="A43" s="51"/>
      <c r="B43" s="60"/>
      <c r="C43" s="51"/>
      <c r="D43" s="64"/>
      <c r="E43" s="51"/>
      <c r="F43" s="32"/>
      <c r="H43" s="51"/>
      <c r="I43" s="32"/>
    </row>
    <row r="44" spans="1:9" s="7" customFormat="1" x14ac:dyDescent="0.25">
      <c r="A44" s="65"/>
      <c r="B44" s="66" t="s">
        <v>60</v>
      </c>
      <c r="C44" s="65"/>
      <c r="D44" s="67"/>
      <c r="E44" s="7">
        <v>300</v>
      </c>
      <c r="F44" s="38">
        <f>+E16</f>
        <v>10</v>
      </c>
      <c r="H44" s="7">
        <v>300</v>
      </c>
      <c r="I44" s="38">
        <f>+H16</f>
        <v>15</v>
      </c>
    </row>
    <row r="45" spans="1:9" x14ac:dyDescent="0.25">
      <c r="A45" s="51"/>
      <c r="B45" s="66" t="s">
        <v>105</v>
      </c>
      <c r="C45" s="65"/>
      <c r="D45" s="67"/>
      <c r="E45" s="21">
        <f>E16*E44</f>
        <v>3000</v>
      </c>
      <c r="F45" s="32"/>
      <c r="H45" s="21">
        <f>H16*H44</f>
        <v>4500</v>
      </c>
      <c r="I45" s="32"/>
    </row>
    <row r="46" spans="1:9" x14ac:dyDescent="0.25">
      <c r="A46" s="51"/>
      <c r="B46" s="60"/>
      <c r="C46" s="51"/>
      <c r="D46" s="54"/>
      <c r="E46" s="51"/>
      <c r="F46" s="32"/>
      <c r="H46" s="51"/>
      <c r="I46" s="32"/>
    </row>
    <row r="47" spans="1:9" s="7" customFormat="1" x14ac:dyDescent="0.25">
      <c r="A47" s="65"/>
      <c r="B47" s="66" t="s">
        <v>110</v>
      </c>
      <c r="C47" s="65"/>
      <c r="D47" s="67"/>
      <c r="F47" s="39"/>
      <c r="I47" s="39"/>
    </row>
    <row r="48" spans="1:9" x14ac:dyDescent="0.25">
      <c r="A48" s="51"/>
      <c r="B48" s="60" t="s">
        <v>111</v>
      </c>
      <c r="C48" s="51"/>
      <c r="D48" s="54"/>
      <c r="E48" s="5">
        <f>(E6+E12)*E47</f>
        <v>0</v>
      </c>
      <c r="F48" s="32"/>
      <c r="H48" s="5">
        <f>(H6+H12)*H47</f>
        <v>0</v>
      </c>
      <c r="I48" s="32"/>
    </row>
    <row r="49" spans="1:9" x14ac:dyDescent="0.25">
      <c r="A49" s="51"/>
      <c r="B49" s="60"/>
      <c r="C49" s="51"/>
      <c r="D49" s="54"/>
      <c r="E49" s="51"/>
      <c r="F49" s="32"/>
      <c r="H49" s="51"/>
      <c r="I49" s="32"/>
    </row>
    <row r="50" spans="1:9" x14ac:dyDescent="0.25">
      <c r="A50" s="51"/>
      <c r="B50" s="60" t="s">
        <v>112</v>
      </c>
      <c r="C50" s="51"/>
      <c r="D50" s="54"/>
      <c r="E50" s="8">
        <v>2000</v>
      </c>
      <c r="F50" s="32"/>
      <c r="H50" s="8">
        <v>2000</v>
      </c>
      <c r="I50" s="32"/>
    </row>
    <row r="51" spans="1:9" x14ac:dyDescent="0.25">
      <c r="A51" s="51"/>
      <c r="B51" s="60"/>
      <c r="C51" s="51"/>
      <c r="D51" s="54"/>
      <c r="E51" s="51"/>
      <c r="F51" s="11"/>
      <c r="H51" s="51"/>
      <c r="I51" s="11"/>
    </row>
    <row r="52" spans="1:9" x14ac:dyDescent="0.25">
      <c r="A52" s="51"/>
      <c r="B52" s="60" t="s">
        <v>113</v>
      </c>
      <c r="C52" s="51"/>
      <c r="D52" s="54"/>
      <c r="E52" s="8"/>
      <c r="F52" s="11"/>
      <c r="H52" s="8"/>
      <c r="I52" s="11"/>
    </row>
    <row r="53" spans="1:9" x14ac:dyDescent="0.25">
      <c r="A53" s="51"/>
      <c r="B53" s="60"/>
      <c r="C53" s="51"/>
      <c r="D53" s="54"/>
      <c r="E53" s="51"/>
      <c r="F53" s="11"/>
      <c r="H53" s="51"/>
      <c r="I53" s="11"/>
    </row>
    <row r="54" spans="1:9" x14ac:dyDescent="0.25">
      <c r="A54" s="51"/>
      <c r="B54" s="60" t="s">
        <v>114</v>
      </c>
      <c r="C54" s="51"/>
      <c r="D54" s="54"/>
      <c r="E54" s="8"/>
      <c r="F54" s="11"/>
      <c r="H54" s="8"/>
      <c r="I54" s="11"/>
    </row>
    <row r="55" spans="1:9" x14ac:dyDescent="0.25">
      <c r="A55" s="51"/>
      <c r="B55" s="60"/>
      <c r="C55" s="51"/>
      <c r="D55" s="54"/>
      <c r="E55" s="51"/>
      <c r="F55" s="11"/>
      <c r="H55" s="51"/>
      <c r="I55" s="11"/>
    </row>
    <row r="56" spans="1:9" s="9" customFormat="1" x14ac:dyDescent="0.25">
      <c r="A56" s="68"/>
      <c r="B56" s="79" t="s">
        <v>115</v>
      </c>
      <c r="C56" s="80"/>
      <c r="D56" s="99">
        <v>2225</v>
      </c>
      <c r="E56" s="20">
        <f>E24+E27+E30+E33+E36+E39+E42+E50+E45+E48+E54+E52</f>
        <v>273725</v>
      </c>
      <c r="F56" s="14"/>
      <c r="H56" s="20">
        <f>H24+H27+H30+H33+H36+H39+H42+H50+H45+H48+H54+H52</f>
        <v>341850</v>
      </c>
      <c r="I56" s="14"/>
    </row>
    <row r="57" spans="1:9" x14ac:dyDescent="0.25">
      <c r="A57" s="51"/>
      <c r="B57" s="60"/>
      <c r="C57" s="51"/>
      <c r="D57" s="54"/>
      <c r="E57" s="51"/>
      <c r="F57" s="11"/>
      <c r="H57" s="51"/>
      <c r="I57" s="11"/>
    </row>
    <row r="58" spans="1:9" x14ac:dyDescent="0.25">
      <c r="A58" s="51"/>
      <c r="B58" s="60" t="s">
        <v>200</v>
      </c>
      <c r="C58" s="51"/>
      <c r="D58" s="54"/>
      <c r="E58" s="1">
        <v>10</v>
      </c>
      <c r="F58" s="11"/>
      <c r="H58" s="1">
        <v>10</v>
      </c>
      <c r="I58" s="11"/>
    </row>
    <row r="59" spans="1:9" x14ac:dyDescent="0.25">
      <c r="A59" s="51"/>
      <c r="B59" s="60" t="s">
        <v>201</v>
      </c>
      <c r="C59" s="51"/>
      <c r="D59" s="54"/>
      <c r="E59" s="1">
        <v>200</v>
      </c>
      <c r="F59" s="11"/>
      <c r="H59" s="1">
        <v>200</v>
      </c>
      <c r="I59" s="11"/>
    </row>
    <row r="60" spans="1:9" x14ac:dyDescent="0.25">
      <c r="A60" s="51"/>
      <c r="B60" s="60" t="s">
        <v>116</v>
      </c>
      <c r="C60" s="51"/>
      <c r="D60" s="54"/>
      <c r="E60" s="18">
        <f>E58*E59</f>
        <v>2000</v>
      </c>
      <c r="F60" s="11"/>
      <c r="H60" s="18">
        <f>H58*H59</f>
        <v>2000</v>
      </c>
      <c r="I60" s="11"/>
    </row>
    <row r="61" spans="1:9" x14ac:dyDescent="0.25">
      <c r="A61" s="51"/>
      <c r="B61" s="60"/>
      <c r="C61" s="51"/>
      <c r="D61" s="54"/>
      <c r="E61" s="51"/>
      <c r="F61" s="11"/>
      <c r="H61" s="51"/>
      <c r="I61" s="11"/>
    </row>
    <row r="62" spans="1:9" x14ac:dyDescent="0.25">
      <c r="A62" s="51"/>
      <c r="B62" s="60" t="s">
        <v>61</v>
      </c>
      <c r="C62" s="51"/>
      <c r="D62" s="54"/>
      <c r="E62" s="1">
        <v>1</v>
      </c>
      <c r="F62" s="11"/>
      <c r="H62" s="1">
        <v>1</v>
      </c>
      <c r="I62" s="11"/>
    </row>
    <row r="63" spans="1:9" x14ac:dyDescent="0.25">
      <c r="A63" s="51"/>
      <c r="B63" s="60" t="s">
        <v>117</v>
      </c>
      <c r="C63" s="51"/>
      <c r="D63" s="54"/>
      <c r="E63" s="1">
        <v>300</v>
      </c>
      <c r="F63" s="11"/>
      <c r="H63" s="1">
        <v>300</v>
      </c>
      <c r="I63" s="11"/>
    </row>
    <row r="64" spans="1:9" x14ac:dyDescent="0.25">
      <c r="A64" s="51"/>
      <c r="B64" s="60" t="s">
        <v>118</v>
      </c>
      <c r="C64" s="51"/>
      <c r="D64" s="54"/>
      <c r="E64" s="18">
        <f>E62*E63</f>
        <v>300</v>
      </c>
      <c r="F64" s="11"/>
      <c r="H64" s="18">
        <f>H62*H63</f>
        <v>300</v>
      </c>
      <c r="I64" s="11"/>
    </row>
    <row r="65" spans="1:9" x14ac:dyDescent="0.25">
      <c r="A65" s="51"/>
      <c r="B65" s="60"/>
      <c r="C65" s="51"/>
      <c r="D65" s="54"/>
      <c r="E65" s="51"/>
      <c r="F65" s="11"/>
      <c r="H65" s="51"/>
      <c r="I65" s="11"/>
    </row>
    <row r="66" spans="1:9" x14ac:dyDescent="0.25">
      <c r="A66" s="51"/>
      <c r="B66" s="60" t="s">
        <v>119</v>
      </c>
      <c r="C66" s="51"/>
      <c r="D66" s="54"/>
      <c r="E66" s="1">
        <v>1</v>
      </c>
      <c r="F66" s="11"/>
      <c r="H66" s="1">
        <v>1</v>
      </c>
      <c r="I66" s="11"/>
    </row>
    <row r="67" spans="1:9" x14ac:dyDescent="0.25">
      <c r="A67" s="51"/>
      <c r="B67" s="60" t="s">
        <v>120</v>
      </c>
      <c r="C67" s="51"/>
      <c r="D67" s="54"/>
      <c r="E67" s="1">
        <v>200</v>
      </c>
      <c r="F67" s="11"/>
      <c r="H67" s="1">
        <v>200</v>
      </c>
      <c r="I67" s="11"/>
    </row>
    <row r="68" spans="1:9" x14ac:dyDescent="0.25">
      <c r="A68" s="51"/>
      <c r="B68" s="60" t="s">
        <v>121</v>
      </c>
      <c r="C68" s="51"/>
      <c r="D68" s="54"/>
      <c r="E68" s="18">
        <f>E66*E67</f>
        <v>200</v>
      </c>
      <c r="F68" s="11"/>
      <c r="H68" s="18">
        <f>H66*H67</f>
        <v>200</v>
      </c>
      <c r="I68" s="11"/>
    </row>
    <row r="69" spans="1:9" x14ac:dyDescent="0.25">
      <c r="A69" s="51"/>
      <c r="B69" s="60"/>
      <c r="C69" s="51"/>
      <c r="D69" s="54"/>
      <c r="E69" s="51"/>
      <c r="F69" s="11"/>
      <c r="H69" s="51"/>
      <c r="I69" s="11"/>
    </row>
    <row r="70" spans="1:9" x14ac:dyDescent="0.25">
      <c r="A70" s="51"/>
      <c r="B70" s="60" t="s">
        <v>62</v>
      </c>
      <c r="C70" s="51"/>
      <c r="D70" s="54"/>
      <c r="E70" s="1">
        <v>1</v>
      </c>
      <c r="F70" s="11"/>
      <c r="H70" s="1">
        <v>1</v>
      </c>
      <c r="I70" s="11"/>
    </row>
    <row r="71" spans="1:9" x14ac:dyDescent="0.25">
      <c r="A71" s="51"/>
      <c r="B71" s="60" t="s">
        <v>122</v>
      </c>
      <c r="C71" s="51"/>
      <c r="D71" s="54"/>
      <c r="E71" s="1">
        <v>200</v>
      </c>
      <c r="F71" s="11"/>
      <c r="H71" s="1">
        <v>200</v>
      </c>
      <c r="I71" s="11"/>
    </row>
    <row r="72" spans="1:9" x14ac:dyDescent="0.25">
      <c r="A72" s="51"/>
      <c r="B72" s="60" t="s">
        <v>123</v>
      </c>
      <c r="C72" s="51"/>
      <c r="D72" s="54"/>
      <c r="E72" s="18">
        <f>E70*E71</f>
        <v>200</v>
      </c>
      <c r="F72" s="11"/>
      <c r="H72" s="18">
        <f>H70*H71</f>
        <v>200</v>
      </c>
      <c r="I72" s="11"/>
    </row>
    <row r="73" spans="1:9" x14ac:dyDescent="0.25">
      <c r="A73" s="51"/>
      <c r="B73" s="60"/>
      <c r="C73" s="51"/>
      <c r="D73" s="54"/>
      <c r="E73" s="51"/>
      <c r="F73" s="11"/>
      <c r="H73" s="51"/>
      <c r="I73" s="11"/>
    </row>
    <row r="74" spans="1:9" x14ac:dyDescent="0.25">
      <c r="A74" s="51"/>
      <c r="B74" s="60" t="s">
        <v>63</v>
      </c>
      <c r="C74" s="51"/>
      <c r="D74" s="54"/>
      <c r="E74" s="1">
        <v>1</v>
      </c>
      <c r="F74" s="11"/>
      <c r="H74" s="1">
        <v>1</v>
      </c>
      <c r="I74" s="11"/>
    </row>
    <row r="75" spans="1:9" x14ac:dyDescent="0.25">
      <c r="A75" s="51"/>
      <c r="B75" s="60" t="s">
        <v>124</v>
      </c>
      <c r="C75" s="51"/>
      <c r="D75" s="54"/>
      <c r="E75" s="1">
        <v>150</v>
      </c>
      <c r="F75" s="11"/>
      <c r="H75" s="1">
        <v>150</v>
      </c>
      <c r="I75" s="11"/>
    </row>
    <row r="76" spans="1:9" x14ac:dyDescent="0.25">
      <c r="A76" s="51"/>
      <c r="B76" s="60" t="s">
        <v>125</v>
      </c>
      <c r="C76" s="51"/>
      <c r="D76" s="54"/>
      <c r="E76" s="18">
        <f>E74*E75</f>
        <v>150</v>
      </c>
      <c r="F76" s="11"/>
      <c r="H76" s="18">
        <f>H74*H75</f>
        <v>150</v>
      </c>
      <c r="I76" s="11"/>
    </row>
    <row r="77" spans="1:9" x14ac:dyDescent="0.25">
      <c r="A77" s="51"/>
      <c r="B77" s="60"/>
      <c r="C77" s="51"/>
      <c r="D77" s="54"/>
      <c r="E77" s="51"/>
      <c r="F77" s="11"/>
      <c r="H77" s="51"/>
      <c r="I77" s="11"/>
    </row>
    <row r="78" spans="1:9" x14ac:dyDescent="0.25">
      <c r="A78" s="51"/>
      <c r="B78" s="78" t="s">
        <v>64</v>
      </c>
      <c r="C78" s="19"/>
      <c r="D78" s="97">
        <v>2205</v>
      </c>
      <c r="E78" s="20">
        <f>E60+E64+E68+E72+E76</f>
        <v>2850</v>
      </c>
      <c r="F78" s="12"/>
      <c r="H78" s="20">
        <f>H60+H64+H68+H72+H76</f>
        <v>2850</v>
      </c>
      <c r="I78" s="12"/>
    </row>
    <row r="79" spans="1:9" ht="15.75" customHeight="1" x14ac:dyDescent="0.25">
      <c r="A79" s="51"/>
      <c r="B79" s="60"/>
      <c r="C79" s="51"/>
      <c r="D79" s="54"/>
      <c r="E79" s="51"/>
      <c r="F79" s="11"/>
      <c r="H79" s="51"/>
      <c r="I79" s="11"/>
    </row>
    <row r="80" spans="1:9" x14ac:dyDescent="0.25">
      <c r="A80" s="51"/>
      <c r="B80" s="60" t="s">
        <v>126</v>
      </c>
      <c r="C80" s="51"/>
      <c r="D80" s="54"/>
      <c r="E80" s="34">
        <v>25000</v>
      </c>
      <c r="F80" s="11"/>
      <c r="H80" s="34">
        <v>25000</v>
      </c>
      <c r="I80" s="11"/>
    </row>
    <row r="81" spans="1:9" x14ac:dyDescent="0.25">
      <c r="A81" s="51"/>
      <c r="B81" s="60"/>
      <c r="C81" s="51"/>
      <c r="D81" s="54"/>
      <c r="E81" s="51"/>
      <c r="F81" s="11"/>
      <c r="H81" s="51"/>
      <c r="I81" s="11"/>
    </row>
    <row r="82" spans="1:9" x14ac:dyDescent="0.25">
      <c r="A82" s="51"/>
      <c r="B82" s="60" t="s">
        <v>127</v>
      </c>
      <c r="C82" s="51"/>
      <c r="D82" s="54"/>
      <c r="E82" s="34">
        <v>15000</v>
      </c>
      <c r="F82" s="11"/>
      <c r="H82" s="34">
        <v>15000</v>
      </c>
      <c r="I82" s="11"/>
    </row>
    <row r="83" spans="1:9" x14ac:dyDescent="0.25">
      <c r="A83" s="51"/>
      <c r="B83" s="60"/>
      <c r="C83" s="51"/>
      <c r="D83" s="54"/>
      <c r="E83" s="51"/>
      <c r="F83" s="11"/>
      <c r="H83" s="51"/>
      <c r="I83" s="11"/>
    </row>
    <row r="84" spans="1:9" x14ac:dyDescent="0.25">
      <c r="A84" s="51"/>
      <c r="B84" s="60" t="s">
        <v>218</v>
      </c>
      <c r="C84" s="51"/>
      <c r="D84" s="54"/>
      <c r="E84" s="34"/>
      <c r="F84" s="11"/>
      <c r="H84" s="34"/>
      <c r="I84" s="11"/>
    </row>
    <row r="85" spans="1:9" x14ac:dyDescent="0.25">
      <c r="A85" s="51"/>
      <c r="B85" s="60"/>
      <c r="C85" s="51"/>
      <c r="D85" s="54"/>
      <c r="E85" s="51"/>
      <c r="F85" s="11"/>
      <c r="H85" s="51"/>
      <c r="I85" s="11"/>
    </row>
    <row r="86" spans="1:9" s="2" customFormat="1" x14ac:dyDescent="0.25">
      <c r="A86" s="55"/>
      <c r="B86" s="78" t="s">
        <v>128</v>
      </c>
      <c r="C86" s="19"/>
      <c r="D86" s="97">
        <v>2215</v>
      </c>
      <c r="E86" s="20">
        <f>E80+E82+E84</f>
        <v>40000</v>
      </c>
      <c r="F86" s="12"/>
      <c r="H86" s="20">
        <f>H80+H82+H84</f>
        <v>40000</v>
      </c>
      <c r="I86" s="12"/>
    </row>
    <row r="87" spans="1:9" x14ac:dyDescent="0.25">
      <c r="A87" s="51"/>
      <c r="B87" s="60"/>
      <c r="C87" s="51"/>
      <c r="D87" s="54"/>
      <c r="E87" s="51"/>
      <c r="F87" s="11"/>
      <c r="H87" s="51"/>
      <c r="I87" s="11"/>
    </row>
    <row r="88" spans="1:9" x14ac:dyDescent="0.25">
      <c r="A88" s="51"/>
      <c r="B88" s="60" t="s">
        <v>129</v>
      </c>
      <c r="C88" s="51"/>
      <c r="D88" s="54"/>
      <c r="E88" s="34"/>
      <c r="F88" s="11"/>
      <c r="H88" s="34"/>
      <c r="I88" s="11"/>
    </row>
    <row r="89" spans="1:9" x14ac:dyDescent="0.25">
      <c r="A89" s="51"/>
      <c r="B89" s="60"/>
      <c r="C89" s="51"/>
      <c r="D89" s="54"/>
      <c r="E89" s="51"/>
      <c r="F89" s="11"/>
      <c r="H89" s="51"/>
      <c r="I89" s="11"/>
    </row>
    <row r="90" spans="1:9" x14ac:dyDescent="0.25">
      <c r="A90" s="51"/>
      <c r="B90" s="60" t="s">
        <v>130</v>
      </c>
      <c r="C90" s="51"/>
      <c r="D90" s="54"/>
      <c r="E90" s="34"/>
      <c r="F90" s="11"/>
      <c r="H90" s="34"/>
      <c r="I90" s="11"/>
    </row>
    <row r="91" spans="1:9" x14ac:dyDescent="0.25">
      <c r="A91" s="51"/>
      <c r="B91" s="60"/>
      <c r="C91" s="51"/>
      <c r="D91" s="54"/>
      <c r="E91" s="51"/>
      <c r="F91" s="11"/>
      <c r="H91" s="51"/>
      <c r="I91" s="11"/>
    </row>
    <row r="92" spans="1:9" s="2" customFormat="1" x14ac:dyDescent="0.25">
      <c r="A92" s="55"/>
      <c r="B92" s="78" t="s">
        <v>131</v>
      </c>
      <c r="C92" s="19"/>
      <c r="D92" s="97">
        <v>2210</v>
      </c>
      <c r="E92" s="19">
        <f>E88+E90</f>
        <v>0</v>
      </c>
      <c r="F92" s="12"/>
      <c r="H92" s="19">
        <f>H88+H90</f>
        <v>0</v>
      </c>
      <c r="I92" s="12"/>
    </row>
    <row r="93" spans="1:9" x14ac:dyDescent="0.25">
      <c r="A93" s="51"/>
      <c r="B93" s="60"/>
      <c r="C93" s="51"/>
      <c r="D93" s="54"/>
      <c r="E93" s="51"/>
      <c r="F93" s="11"/>
      <c r="H93" s="51"/>
      <c r="I93" s="11"/>
    </row>
    <row r="94" spans="1:9" x14ac:dyDescent="0.25">
      <c r="A94" s="51"/>
      <c r="B94" s="60" t="s">
        <v>136</v>
      </c>
      <c r="C94" s="51"/>
      <c r="D94" s="54"/>
      <c r="E94" s="34">
        <v>20000</v>
      </c>
      <c r="F94" s="11"/>
      <c r="H94" s="34">
        <v>20000</v>
      </c>
      <c r="I94" s="11"/>
    </row>
    <row r="95" spans="1:9" x14ac:dyDescent="0.25">
      <c r="A95" s="51"/>
      <c r="B95" s="60"/>
      <c r="C95" s="51"/>
      <c r="D95" s="54"/>
      <c r="E95" s="54"/>
      <c r="F95" s="11"/>
      <c r="H95" s="54"/>
      <c r="I95" s="11"/>
    </row>
    <row r="96" spans="1:9" x14ac:dyDescent="0.25">
      <c r="A96" s="51"/>
      <c r="B96" s="60" t="s">
        <v>137</v>
      </c>
      <c r="C96" s="51"/>
      <c r="D96" s="54"/>
      <c r="E96" s="34"/>
      <c r="F96" s="11"/>
      <c r="H96" s="34"/>
      <c r="I96" s="11"/>
    </row>
    <row r="97" spans="1:9" x14ac:dyDescent="0.25">
      <c r="A97" s="51"/>
      <c r="B97" s="60"/>
      <c r="C97" s="51"/>
      <c r="D97" s="54"/>
      <c r="E97" s="51"/>
      <c r="F97" s="11"/>
      <c r="H97" s="51"/>
      <c r="I97" s="11"/>
    </row>
    <row r="98" spans="1:9" s="2" customFormat="1" x14ac:dyDescent="0.25">
      <c r="A98" s="55"/>
      <c r="B98" s="78" t="s">
        <v>132</v>
      </c>
      <c r="C98" s="19"/>
      <c r="D98" s="97">
        <v>2230</v>
      </c>
      <c r="E98" s="20">
        <f>SUM(E94+E96)</f>
        <v>20000</v>
      </c>
      <c r="F98" s="12"/>
      <c r="H98" s="20">
        <f>SUM(H94+H96)</f>
        <v>20000</v>
      </c>
      <c r="I98" s="12"/>
    </row>
    <row r="99" spans="1:9" x14ac:dyDescent="0.25">
      <c r="A99" s="51"/>
      <c r="B99" s="60"/>
      <c r="C99" s="51"/>
      <c r="D99" s="54"/>
      <c r="E99" s="51"/>
      <c r="F99" s="11"/>
      <c r="H99" s="51"/>
      <c r="I99" s="11"/>
    </row>
    <row r="100" spans="1:9" s="2" customFormat="1" x14ac:dyDescent="0.25">
      <c r="A100" s="55"/>
      <c r="B100" s="69" t="s">
        <v>133</v>
      </c>
      <c r="C100" s="55"/>
      <c r="D100" s="98">
        <v>2235</v>
      </c>
      <c r="E100" s="34"/>
      <c r="F100" s="12"/>
      <c r="H100" s="34"/>
      <c r="I100" s="12"/>
    </row>
    <row r="101" spans="1:9" x14ac:dyDescent="0.25">
      <c r="A101" s="51"/>
      <c r="B101" s="60"/>
      <c r="C101" s="51"/>
      <c r="D101" s="54"/>
      <c r="E101" s="51"/>
      <c r="F101" s="11"/>
      <c r="H101" s="51"/>
      <c r="I101" s="11"/>
    </row>
    <row r="102" spans="1:9" s="2" customFormat="1" x14ac:dyDescent="0.25">
      <c r="A102" s="55"/>
      <c r="B102" s="60" t="s">
        <v>223</v>
      </c>
      <c r="C102" s="51"/>
      <c r="D102" s="98">
        <v>2240</v>
      </c>
      <c r="E102" s="34">
        <v>5000</v>
      </c>
      <c r="F102" s="12"/>
      <c r="H102" s="34">
        <v>5000</v>
      </c>
      <c r="I102" s="12"/>
    </row>
    <row r="103" spans="1:9" x14ac:dyDescent="0.25">
      <c r="A103" s="51"/>
      <c r="B103" s="60"/>
      <c r="C103" s="51"/>
      <c r="D103" s="54"/>
      <c r="E103" s="51"/>
      <c r="F103" s="11"/>
      <c r="H103" s="51"/>
      <c r="I103" s="11"/>
    </row>
    <row r="104" spans="1:9" x14ac:dyDescent="0.25">
      <c r="A104" s="51"/>
      <c r="B104" s="60" t="s">
        <v>134</v>
      </c>
      <c r="C104" s="51"/>
      <c r="D104" s="54"/>
      <c r="E104" s="34"/>
      <c r="F104" s="11"/>
      <c r="H104" s="34"/>
      <c r="I104" s="11"/>
    </row>
    <row r="105" spans="1:9" x14ac:dyDescent="0.25">
      <c r="A105" s="51"/>
      <c r="B105" s="60" t="s">
        <v>135</v>
      </c>
      <c r="C105" s="51"/>
      <c r="D105" s="54"/>
      <c r="E105" s="5">
        <f>E5*E104</f>
        <v>0</v>
      </c>
      <c r="F105" s="11"/>
      <c r="H105" s="5">
        <f>H5*H104</f>
        <v>0</v>
      </c>
      <c r="I105" s="11"/>
    </row>
    <row r="106" spans="1:9" x14ac:dyDescent="0.25">
      <c r="A106" s="51"/>
      <c r="B106" s="60"/>
      <c r="C106" s="51"/>
      <c r="D106" s="54"/>
      <c r="E106" s="51"/>
      <c r="F106" s="11"/>
      <c r="H106" s="51"/>
      <c r="I106" s="11"/>
    </row>
    <row r="107" spans="1:9" x14ac:dyDescent="0.25">
      <c r="A107" s="51"/>
      <c r="B107" s="60" t="s">
        <v>159</v>
      </c>
      <c r="C107" s="51"/>
      <c r="D107" s="54"/>
      <c r="E107" s="22">
        <f>+E12*2</f>
        <v>60</v>
      </c>
      <c r="F107" s="11"/>
      <c r="H107" s="22">
        <f>+H12*2</f>
        <v>50</v>
      </c>
      <c r="I107" s="11"/>
    </row>
    <row r="108" spans="1:9" x14ac:dyDescent="0.25">
      <c r="A108" s="51"/>
      <c r="B108" s="60" t="s">
        <v>160</v>
      </c>
      <c r="C108" s="51"/>
      <c r="D108" s="54"/>
      <c r="E108" s="22">
        <v>150</v>
      </c>
      <c r="F108" s="11"/>
      <c r="H108" s="22">
        <v>150</v>
      </c>
      <c r="I108" s="11"/>
    </row>
    <row r="109" spans="1:9" x14ac:dyDescent="0.25">
      <c r="A109" s="51"/>
      <c r="B109" s="60" t="s">
        <v>161</v>
      </c>
      <c r="C109" s="51"/>
      <c r="D109" s="54"/>
      <c r="E109" s="18">
        <f>E107*E108</f>
        <v>9000</v>
      </c>
      <c r="F109" s="11"/>
      <c r="H109" s="18">
        <f>H107*H108</f>
        <v>7500</v>
      </c>
      <c r="I109" s="11"/>
    </row>
    <row r="110" spans="1:9" x14ac:dyDescent="0.25">
      <c r="A110" s="51"/>
      <c r="B110" s="60"/>
      <c r="C110" s="51"/>
      <c r="D110" s="54"/>
      <c r="E110" s="51"/>
      <c r="F110" s="11"/>
      <c r="H110" s="51"/>
      <c r="I110" s="11"/>
    </row>
    <row r="111" spans="1:9" x14ac:dyDescent="0.25">
      <c r="A111" s="51"/>
      <c r="B111" s="60" t="s">
        <v>65</v>
      </c>
      <c r="C111" s="51"/>
      <c r="D111" s="54"/>
      <c r="E111" s="34"/>
      <c r="F111" s="11"/>
      <c r="H111" s="34"/>
      <c r="I111" s="11"/>
    </row>
    <row r="112" spans="1:9" x14ac:dyDescent="0.25">
      <c r="A112" s="51"/>
      <c r="B112" s="60"/>
      <c r="C112" s="51"/>
      <c r="D112" s="54"/>
      <c r="E112" s="51"/>
      <c r="F112" s="11"/>
      <c r="H112" s="51"/>
      <c r="I112" s="11"/>
    </row>
    <row r="113" spans="1:9" x14ac:dyDescent="0.25">
      <c r="A113" s="51"/>
      <c r="B113" s="60" t="s">
        <v>66</v>
      </c>
      <c r="C113" s="51"/>
      <c r="D113" s="54"/>
      <c r="E113" s="34"/>
      <c r="F113" s="11"/>
      <c r="H113" s="34"/>
      <c r="I113" s="11"/>
    </row>
    <row r="114" spans="1:9" x14ac:dyDescent="0.25">
      <c r="A114" s="51"/>
      <c r="B114" s="60"/>
      <c r="C114" s="51"/>
      <c r="D114" s="54"/>
      <c r="E114" s="51"/>
      <c r="F114" s="11"/>
      <c r="H114" s="51"/>
      <c r="I114" s="11"/>
    </row>
    <row r="115" spans="1:9" x14ac:dyDescent="0.25">
      <c r="A115" s="51"/>
      <c r="B115" s="60" t="s">
        <v>67</v>
      </c>
      <c r="C115" s="51"/>
      <c r="D115" s="54"/>
      <c r="E115" s="34"/>
      <c r="F115" s="11"/>
      <c r="H115" s="34"/>
      <c r="I115" s="11"/>
    </row>
    <row r="116" spans="1:9" x14ac:dyDescent="0.25">
      <c r="A116" s="51"/>
      <c r="B116" s="60"/>
      <c r="C116" s="51"/>
      <c r="D116" s="54"/>
      <c r="E116" s="51"/>
      <c r="F116" s="11"/>
      <c r="H116" s="51"/>
      <c r="I116" s="11"/>
    </row>
    <row r="117" spans="1:9" x14ac:dyDescent="0.25">
      <c r="A117" s="51"/>
      <c r="B117" s="60" t="s">
        <v>68</v>
      </c>
      <c r="C117" s="51"/>
      <c r="D117" s="54"/>
      <c r="E117" s="34"/>
      <c r="F117" s="11"/>
      <c r="H117" s="34"/>
      <c r="I117" s="11"/>
    </row>
    <row r="118" spans="1:9" x14ac:dyDescent="0.25">
      <c r="A118" s="51"/>
      <c r="B118" s="60"/>
      <c r="C118" s="51"/>
      <c r="D118" s="54"/>
      <c r="E118" s="51"/>
      <c r="F118" s="11"/>
      <c r="H118" s="51"/>
      <c r="I118" s="11"/>
    </row>
    <row r="119" spans="1:9" x14ac:dyDescent="0.25">
      <c r="A119" s="51"/>
      <c r="B119" s="60" t="s">
        <v>69</v>
      </c>
      <c r="C119" s="51"/>
      <c r="D119" s="54"/>
      <c r="E119" s="34">
        <v>75000</v>
      </c>
      <c r="F119" s="11"/>
      <c r="H119" s="34">
        <v>75000</v>
      </c>
      <c r="I119" s="11"/>
    </row>
    <row r="120" spans="1:9" x14ac:dyDescent="0.25">
      <c r="A120" s="51"/>
      <c r="B120" s="60"/>
      <c r="C120" s="51"/>
      <c r="D120" s="54"/>
      <c r="E120" s="51"/>
      <c r="F120" s="11"/>
      <c r="H120" s="51"/>
      <c r="I120" s="11"/>
    </row>
    <row r="121" spans="1:9" x14ac:dyDescent="0.25">
      <c r="A121" s="51"/>
      <c r="B121" s="60" t="s">
        <v>70</v>
      </c>
      <c r="C121" s="51"/>
      <c r="D121" s="54"/>
      <c r="E121" s="34"/>
      <c r="F121" s="11"/>
      <c r="H121" s="34"/>
      <c r="I121" s="11"/>
    </row>
    <row r="122" spans="1:9" x14ac:dyDescent="0.25">
      <c r="A122" s="51"/>
      <c r="B122" s="60"/>
      <c r="C122" s="51"/>
      <c r="D122" s="54"/>
      <c r="E122" s="51"/>
      <c r="F122" s="11"/>
      <c r="H122" s="51"/>
      <c r="I122" s="11"/>
    </row>
    <row r="123" spans="1:9" x14ac:dyDescent="0.25">
      <c r="A123" s="51"/>
      <c r="B123" s="60" t="s">
        <v>71</v>
      </c>
      <c r="C123" s="51"/>
      <c r="D123" s="54"/>
      <c r="E123" s="34">
        <v>25000</v>
      </c>
      <c r="F123" s="11"/>
      <c r="H123" s="34">
        <v>25000</v>
      </c>
      <c r="I123" s="11"/>
    </row>
    <row r="124" spans="1:9" x14ac:dyDescent="0.25">
      <c r="A124" s="51"/>
      <c r="B124" s="60"/>
      <c r="C124" s="51"/>
      <c r="D124" s="54"/>
      <c r="E124" s="51"/>
      <c r="F124" s="11"/>
      <c r="H124" s="51"/>
      <c r="I124" s="11"/>
    </row>
    <row r="125" spans="1:9" x14ac:dyDescent="0.25">
      <c r="A125" s="51"/>
      <c r="B125" s="60" t="s">
        <v>73</v>
      </c>
      <c r="C125" s="51"/>
      <c r="D125" s="54"/>
      <c r="E125" s="34"/>
      <c r="F125" s="11"/>
      <c r="H125" s="34"/>
      <c r="I125" s="11"/>
    </row>
    <row r="126" spans="1:9" x14ac:dyDescent="0.25">
      <c r="A126" s="51"/>
      <c r="B126" s="60"/>
      <c r="C126" s="51"/>
      <c r="D126" s="54"/>
      <c r="E126" s="51"/>
      <c r="F126" s="11"/>
      <c r="H126" s="51"/>
      <c r="I126" s="11"/>
    </row>
    <row r="127" spans="1:9" x14ac:dyDescent="0.25">
      <c r="A127" s="51"/>
      <c r="B127" s="60" t="s">
        <v>75</v>
      </c>
      <c r="C127" s="51"/>
      <c r="D127" s="54"/>
      <c r="E127" s="34"/>
      <c r="F127" s="11"/>
      <c r="H127" s="34"/>
      <c r="I127" s="11"/>
    </row>
    <row r="128" spans="1:9" x14ac:dyDescent="0.25">
      <c r="A128" s="51"/>
      <c r="B128" s="60"/>
      <c r="C128" s="51"/>
      <c r="D128" s="54"/>
      <c r="E128" s="51"/>
      <c r="F128" s="11"/>
      <c r="H128" s="51"/>
      <c r="I128" s="11"/>
    </row>
    <row r="129" spans="1:9" x14ac:dyDescent="0.25">
      <c r="A129" s="51"/>
      <c r="B129" s="60" t="s">
        <v>76</v>
      </c>
      <c r="C129" s="51"/>
      <c r="D129" s="54"/>
      <c r="E129" s="34"/>
      <c r="F129" s="11"/>
      <c r="H129" s="34"/>
      <c r="I129" s="11"/>
    </row>
    <row r="130" spans="1:9" x14ac:dyDescent="0.25">
      <c r="A130" s="51"/>
      <c r="B130" s="60"/>
      <c r="C130" s="51"/>
      <c r="D130" s="54"/>
      <c r="E130" s="51"/>
      <c r="F130" s="11"/>
      <c r="H130" s="51"/>
      <c r="I130" s="11"/>
    </row>
    <row r="131" spans="1:9" x14ac:dyDescent="0.25">
      <c r="A131" s="51"/>
      <c r="B131" s="60" t="s">
        <v>77</v>
      </c>
      <c r="C131" s="51"/>
      <c r="D131" s="54"/>
      <c r="F131" s="11"/>
      <c r="I131" s="11"/>
    </row>
    <row r="132" spans="1:9" x14ac:dyDescent="0.25">
      <c r="A132" s="51"/>
      <c r="B132" s="60"/>
      <c r="C132" s="51"/>
      <c r="D132" s="54"/>
      <c r="E132" s="51"/>
      <c r="F132" s="11"/>
      <c r="H132" s="51"/>
      <c r="I132" s="11"/>
    </row>
    <row r="133" spans="1:9" x14ac:dyDescent="0.25">
      <c r="A133" s="51"/>
      <c r="B133" s="60" t="s">
        <v>142</v>
      </c>
      <c r="C133" s="51"/>
      <c r="D133" s="54"/>
      <c r="F133" s="11"/>
      <c r="I133" s="11"/>
    </row>
    <row r="134" spans="1:9" x14ac:dyDescent="0.25">
      <c r="A134" s="51"/>
      <c r="B134" s="60"/>
      <c r="C134" s="51"/>
      <c r="D134" s="54"/>
      <c r="E134" s="51"/>
      <c r="F134" s="11"/>
      <c r="H134" s="51"/>
      <c r="I134" s="11"/>
    </row>
    <row r="135" spans="1:9" x14ac:dyDescent="0.25">
      <c r="A135" s="51"/>
      <c r="B135" s="60" t="s">
        <v>138</v>
      </c>
      <c r="C135" s="51"/>
      <c r="D135" s="54"/>
      <c r="F135" s="11"/>
      <c r="I135" s="11"/>
    </row>
    <row r="136" spans="1:9" x14ac:dyDescent="0.25">
      <c r="A136" s="51"/>
      <c r="B136" s="60"/>
      <c r="C136" s="51"/>
      <c r="D136" s="54"/>
      <c r="E136" s="51"/>
      <c r="F136" s="11"/>
      <c r="H136" s="51"/>
      <c r="I136" s="11"/>
    </row>
    <row r="137" spans="1:9" x14ac:dyDescent="0.25">
      <c r="A137" s="51"/>
      <c r="B137" s="60" t="s">
        <v>78</v>
      </c>
      <c r="C137" s="51"/>
      <c r="D137" s="54"/>
      <c r="F137" s="11"/>
      <c r="I137" s="11"/>
    </row>
    <row r="138" spans="1:9" x14ac:dyDescent="0.25">
      <c r="A138" s="51"/>
      <c r="B138" s="60"/>
      <c r="C138" s="51"/>
      <c r="D138" s="54"/>
      <c r="E138" s="51"/>
      <c r="F138" s="11"/>
      <c r="H138" s="51"/>
      <c r="I138" s="11"/>
    </row>
    <row r="139" spans="1:9" x14ac:dyDescent="0.25">
      <c r="A139" s="51"/>
      <c r="B139" s="60" t="s">
        <v>147</v>
      </c>
      <c r="C139" s="51"/>
      <c r="D139" s="54"/>
      <c r="F139" s="11"/>
      <c r="I139" s="11"/>
    </row>
    <row r="140" spans="1:9" x14ac:dyDescent="0.25">
      <c r="A140" s="51"/>
      <c r="B140" s="60"/>
      <c r="C140" s="51"/>
      <c r="D140" s="54"/>
      <c r="E140" s="51"/>
      <c r="F140" s="11"/>
      <c r="H140" s="51"/>
      <c r="I140" s="11"/>
    </row>
    <row r="141" spans="1:9" x14ac:dyDescent="0.25">
      <c r="A141" s="51"/>
      <c r="B141" s="60" t="s">
        <v>140</v>
      </c>
      <c r="C141" s="51"/>
      <c r="D141" s="54"/>
      <c r="E141" s="34">
        <v>50000</v>
      </c>
      <c r="F141" s="11"/>
      <c r="H141" s="34">
        <v>50000</v>
      </c>
      <c r="I141" s="11"/>
    </row>
    <row r="142" spans="1:9" x14ac:dyDescent="0.25">
      <c r="A142" s="51"/>
      <c r="B142" s="60"/>
      <c r="C142" s="51"/>
      <c r="D142" s="54"/>
      <c r="E142" s="51"/>
      <c r="F142" s="11"/>
      <c r="H142" s="51"/>
      <c r="I142" s="11"/>
    </row>
    <row r="143" spans="1:9" s="2" customFormat="1" x14ac:dyDescent="0.25">
      <c r="A143" s="55"/>
      <c r="B143" s="78" t="s">
        <v>139</v>
      </c>
      <c r="C143" s="101"/>
      <c r="D143" s="100" t="s">
        <v>158</v>
      </c>
      <c r="E143" s="37">
        <f>E105+E109+E111+E113+E115+E117+E119+E121+E123+E125+E127+E129+E131+E133+E135+E137+E139+E141+E102+E100</f>
        <v>164000</v>
      </c>
      <c r="F143" s="12"/>
      <c r="H143" s="37">
        <f>H105+H109+H111+H113+H115+H117+H119+H121+H123+H125+H127+H129+H131+H133+H135+H137+H139+H141+H102+H100</f>
        <v>162500</v>
      </c>
      <c r="I143" s="12"/>
    </row>
    <row r="144" spans="1:9" x14ac:dyDescent="0.25">
      <c r="A144" s="51"/>
      <c r="B144" s="60"/>
      <c r="C144" s="51"/>
      <c r="D144" s="54"/>
      <c r="E144" s="51"/>
      <c r="F144" s="11"/>
      <c r="H144" s="51"/>
      <c r="I144" s="11"/>
    </row>
    <row r="145" spans="1:9" x14ac:dyDescent="0.25">
      <c r="A145" s="51"/>
      <c r="B145" s="60" t="s">
        <v>155</v>
      </c>
      <c r="C145" s="51"/>
      <c r="D145" s="54"/>
      <c r="E145" s="5">
        <v>200</v>
      </c>
      <c r="F145" s="11"/>
      <c r="H145" s="5">
        <v>200</v>
      </c>
      <c r="I145" s="11"/>
    </row>
    <row r="146" spans="1:9" x14ac:dyDescent="0.25">
      <c r="A146" s="51"/>
      <c r="B146" s="60" t="s">
        <v>156</v>
      </c>
      <c r="C146" s="51"/>
      <c r="D146" s="54"/>
      <c r="E146" s="34">
        <f>+E108</f>
        <v>150</v>
      </c>
      <c r="F146" s="11"/>
      <c r="H146" s="34">
        <f>+H108</f>
        <v>150</v>
      </c>
      <c r="I146" s="11"/>
    </row>
    <row r="147" spans="1:9" x14ac:dyDescent="0.25">
      <c r="A147" s="51"/>
      <c r="B147" s="69" t="s">
        <v>157</v>
      </c>
      <c r="C147" s="55"/>
      <c r="D147" s="98">
        <v>2270</v>
      </c>
      <c r="E147" s="36">
        <f>E145*E146</f>
        <v>30000</v>
      </c>
      <c r="F147" s="11"/>
      <c r="H147" s="36">
        <f>H145*H146</f>
        <v>30000</v>
      </c>
      <c r="I147" s="11"/>
    </row>
    <row r="148" spans="1:9" x14ac:dyDescent="0.25">
      <c r="A148" s="51"/>
      <c r="B148" s="60"/>
      <c r="C148" s="51"/>
      <c r="D148" s="54"/>
      <c r="E148" s="51"/>
      <c r="F148" s="11"/>
      <c r="H148" s="51"/>
      <c r="I148" s="11"/>
    </row>
    <row r="149" spans="1:9" x14ac:dyDescent="0.25">
      <c r="A149" s="55"/>
      <c r="B149" s="69" t="s">
        <v>80</v>
      </c>
      <c r="C149" s="55"/>
      <c r="D149" s="98">
        <v>2435</v>
      </c>
      <c r="E149" s="35">
        <v>50000</v>
      </c>
      <c r="F149" s="11"/>
      <c r="H149" s="35">
        <v>50000</v>
      </c>
      <c r="I149" s="11"/>
    </row>
    <row r="150" spans="1:9" x14ac:dyDescent="0.25">
      <c r="A150" s="51"/>
      <c r="B150" s="60"/>
      <c r="C150" s="51"/>
      <c r="D150" s="54"/>
      <c r="E150" s="51"/>
      <c r="F150" s="11"/>
      <c r="H150" s="51"/>
      <c r="I150" s="11"/>
    </row>
    <row r="151" spans="1:9" s="2" customFormat="1" x14ac:dyDescent="0.25">
      <c r="A151" s="55"/>
      <c r="B151" s="69" t="s">
        <v>141</v>
      </c>
      <c r="C151" s="55"/>
      <c r="D151" s="98">
        <v>2005</v>
      </c>
      <c r="E151" s="35">
        <v>10000</v>
      </c>
      <c r="F151" s="12"/>
      <c r="H151" s="35">
        <v>10000</v>
      </c>
      <c r="I151" s="12"/>
    </row>
    <row r="152" spans="1:9" x14ac:dyDescent="0.25">
      <c r="A152" s="51"/>
      <c r="B152" s="60"/>
      <c r="C152" s="51"/>
      <c r="D152" s="54"/>
      <c r="E152" s="51"/>
      <c r="F152" s="11"/>
      <c r="H152" s="51"/>
      <c r="I152" s="11"/>
    </row>
    <row r="153" spans="1:9" s="2" customFormat="1" x14ac:dyDescent="0.25">
      <c r="A153" s="55"/>
      <c r="B153" s="69" t="s">
        <v>72</v>
      </c>
      <c r="C153" s="55"/>
      <c r="D153" s="98">
        <v>2325</v>
      </c>
      <c r="E153" s="35">
        <v>10000</v>
      </c>
      <c r="F153" s="12"/>
      <c r="H153" s="35">
        <v>10000</v>
      </c>
      <c r="I153" s="12"/>
    </row>
    <row r="154" spans="1:9" x14ac:dyDescent="0.25">
      <c r="A154" s="51"/>
      <c r="B154" s="60"/>
      <c r="C154" s="51"/>
      <c r="D154" s="54"/>
      <c r="E154" s="51"/>
      <c r="F154" s="11"/>
      <c r="H154" s="51"/>
      <c r="I154" s="11"/>
    </row>
    <row r="155" spans="1:9" s="2" customFormat="1" x14ac:dyDescent="0.25">
      <c r="A155" s="55"/>
      <c r="B155" s="69" t="s">
        <v>74</v>
      </c>
      <c r="C155" s="55"/>
      <c r="D155" s="98">
        <v>2355</v>
      </c>
      <c r="F155" s="12"/>
      <c r="I155" s="12"/>
    </row>
    <row r="156" spans="1:9" x14ac:dyDescent="0.25">
      <c r="A156" s="51"/>
      <c r="B156" s="60"/>
      <c r="C156" s="51"/>
      <c r="D156" s="54"/>
      <c r="E156" s="51"/>
      <c r="F156" s="11"/>
      <c r="H156" s="51"/>
      <c r="I156" s="11"/>
    </row>
    <row r="157" spans="1:9" s="2" customFormat="1" x14ac:dyDescent="0.25">
      <c r="A157" s="55"/>
      <c r="B157" s="69" t="s">
        <v>143</v>
      </c>
      <c r="C157" s="55"/>
      <c r="D157" s="98">
        <v>2415</v>
      </c>
      <c r="F157" s="12"/>
      <c r="I157" s="12"/>
    </row>
    <row r="158" spans="1:9" x14ac:dyDescent="0.25">
      <c r="A158" s="51"/>
      <c r="B158" s="60"/>
      <c r="C158" s="51"/>
      <c r="D158" s="54"/>
      <c r="E158" s="51"/>
      <c r="F158" s="11"/>
      <c r="H158" s="51"/>
      <c r="I158" s="11"/>
    </row>
    <row r="159" spans="1:9" x14ac:dyDescent="0.25">
      <c r="A159" s="51"/>
      <c r="B159" s="69" t="s">
        <v>162</v>
      </c>
      <c r="C159" s="55"/>
      <c r="D159" s="98">
        <v>2704</v>
      </c>
      <c r="E159" s="35">
        <v>2000</v>
      </c>
      <c r="F159" s="11"/>
      <c r="H159" s="35">
        <v>2000</v>
      </c>
      <c r="I159" s="11"/>
    </row>
    <row r="160" spans="1:9" x14ac:dyDescent="0.25">
      <c r="A160" s="51"/>
      <c r="B160" s="60"/>
      <c r="C160" s="51"/>
      <c r="D160" s="54"/>
      <c r="E160" s="51"/>
      <c r="F160" s="11"/>
      <c r="H160" s="51"/>
      <c r="I160" s="11"/>
    </row>
    <row r="161" spans="1:9" s="2" customFormat="1" x14ac:dyDescent="0.25">
      <c r="A161" s="55"/>
      <c r="B161" s="69" t="s">
        <v>144</v>
      </c>
      <c r="C161" s="55"/>
      <c r="D161" s="98">
        <v>2716</v>
      </c>
      <c r="F161" s="12"/>
      <c r="I161" s="12"/>
    </row>
    <row r="162" spans="1:9" x14ac:dyDescent="0.25">
      <c r="A162" s="51"/>
      <c r="B162" s="60"/>
      <c r="C162" s="51"/>
      <c r="D162" s="54"/>
      <c r="E162" s="51"/>
      <c r="F162" s="11"/>
      <c r="H162" s="51"/>
      <c r="I162" s="11"/>
    </row>
    <row r="163" spans="1:9" x14ac:dyDescent="0.25">
      <c r="A163" s="51"/>
      <c r="B163" s="69" t="s">
        <v>145</v>
      </c>
      <c r="C163" s="55"/>
      <c r="D163" s="98">
        <v>2720</v>
      </c>
      <c r="F163" s="11"/>
      <c r="I163" s="11"/>
    </row>
    <row r="164" spans="1:9" x14ac:dyDescent="0.25">
      <c r="A164" s="51"/>
      <c r="B164" s="60"/>
      <c r="C164" s="51"/>
      <c r="D164" s="54"/>
      <c r="E164" s="51"/>
      <c r="F164" s="11"/>
      <c r="H164" s="51"/>
      <c r="I164" s="11"/>
    </row>
    <row r="165" spans="1:9" x14ac:dyDescent="0.25">
      <c r="A165" s="51"/>
      <c r="B165" s="69" t="s">
        <v>146</v>
      </c>
      <c r="C165" s="55"/>
      <c r="D165" s="98">
        <v>2732</v>
      </c>
      <c r="F165" s="11"/>
      <c r="I165" s="11"/>
    </row>
    <row r="166" spans="1:9" x14ac:dyDescent="0.25">
      <c r="A166" s="51"/>
      <c r="B166" s="60"/>
      <c r="C166" s="51"/>
      <c r="D166" s="54"/>
      <c r="E166" s="51"/>
      <c r="F166" s="11"/>
      <c r="H166" s="51"/>
      <c r="I166" s="11"/>
    </row>
    <row r="167" spans="1:9" x14ac:dyDescent="0.25">
      <c r="A167" s="51"/>
      <c r="B167" s="69" t="s">
        <v>148</v>
      </c>
      <c r="C167" s="55"/>
      <c r="D167" s="98">
        <v>2740</v>
      </c>
      <c r="F167" s="11"/>
      <c r="I167" s="11"/>
    </row>
    <row r="168" spans="1:9" x14ac:dyDescent="0.25">
      <c r="A168" s="51"/>
      <c r="B168" s="60"/>
      <c r="C168" s="51"/>
      <c r="D168" s="54"/>
      <c r="E168" s="51"/>
      <c r="F168" s="11"/>
      <c r="H168" s="51"/>
      <c r="I168" s="11"/>
    </row>
    <row r="169" spans="1:9" x14ac:dyDescent="0.25">
      <c r="A169" s="51"/>
      <c r="B169" s="69" t="s">
        <v>149</v>
      </c>
      <c r="C169" s="55"/>
      <c r="D169" s="98">
        <v>2825</v>
      </c>
      <c r="F169" s="11"/>
      <c r="I169" s="11"/>
    </row>
    <row r="170" spans="1:9" x14ac:dyDescent="0.25">
      <c r="A170" s="51"/>
      <c r="B170" s="60"/>
      <c r="C170" s="51"/>
      <c r="D170" s="54"/>
      <c r="E170" s="51"/>
      <c r="F170" s="11"/>
      <c r="H170" s="51"/>
      <c r="I170" s="11"/>
    </row>
    <row r="171" spans="1:9" x14ac:dyDescent="0.25">
      <c r="A171" s="51"/>
      <c r="B171" s="69" t="s">
        <v>150</v>
      </c>
      <c r="C171" s="55"/>
      <c r="D171" s="98">
        <v>2660</v>
      </c>
      <c r="F171" s="11"/>
      <c r="I171" s="11"/>
    </row>
    <row r="172" spans="1:9" x14ac:dyDescent="0.25">
      <c r="A172" s="51"/>
      <c r="B172" s="60"/>
      <c r="C172" s="51"/>
      <c r="D172" s="54"/>
      <c r="E172" s="51"/>
      <c r="F172" s="11"/>
      <c r="H172" s="51"/>
      <c r="I172" s="11"/>
    </row>
    <row r="173" spans="1:9" x14ac:dyDescent="0.25">
      <c r="A173" s="51"/>
      <c r="B173" s="69" t="s">
        <v>151</v>
      </c>
      <c r="C173" s="55"/>
      <c r="D173" s="98">
        <v>2650</v>
      </c>
      <c r="F173" s="11"/>
      <c r="I173" s="11"/>
    </row>
    <row r="174" spans="1:9" x14ac:dyDescent="0.25">
      <c r="A174" s="51"/>
      <c r="B174" s="60"/>
      <c r="C174" s="51"/>
      <c r="D174" s="54"/>
      <c r="E174" s="51"/>
      <c r="F174" s="11"/>
      <c r="H174" s="51"/>
      <c r="I174" s="11"/>
    </row>
    <row r="175" spans="1:9" x14ac:dyDescent="0.25">
      <c r="A175" s="51"/>
      <c r="B175" s="69" t="s">
        <v>163</v>
      </c>
      <c r="C175" s="55"/>
      <c r="D175" s="98">
        <v>2756</v>
      </c>
      <c r="E175" s="35">
        <v>5000</v>
      </c>
      <c r="F175" s="11"/>
      <c r="H175" s="35">
        <v>5000</v>
      </c>
      <c r="I175" s="11"/>
    </row>
    <row r="176" spans="1:9" x14ac:dyDescent="0.25">
      <c r="A176" s="51"/>
      <c r="B176" s="60"/>
      <c r="C176" s="51"/>
      <c r="D176" s="54"/>
      <c r="E176" s="51"/>
      <c r="F176" s="11"/>
      <c r="H176" s="51"/>
      <c r="I176" s="11"/>
    </row>
    <row r="177" spans="1:9" x14ac:dyDescent="0.25">
      <c r="A177" s="51"/>
      <c r="B177" s="69" t="s">
        <v>152</v>
      </c>
      <c r="C177" s="55"/>
      <c r="D177" s="98">
        <v>2768</v>
      </c>
      <c r="F177" s="11"/>
      <c r="I177" s="11"/>
    </row>
    <row r="178" spans="1:9" x14ac:dyDescent="0.25">
      <c r="A178" s="51"/>
      <c r="B178" s="60"/>
      <c r="C178" s="51"/>
      <c r="D178" s="54"/>
      <c r="E178" s="51"/>
      <c r="F178" s="11"/>
      <c r="H178" s="51"/>
      <c r="I178" s="11"/>
    </row>
    <row r="179" spans="1:9" x14ac:dyDescent="0.25">
      <c r="A179" s="51"/>
      <c r="B179" s="69" t="s">
        <v>216</v>
      </c>
      <c r="C179" s="55"/>
      <c r="D179" s="98">
        <v>2780</v>
      </c>
      <c r="E179" s="35">
        <v>2000</v>
      </c>
      <c r="F179" s="11"/>
      <c r="H179" s="35">
        <v>2000</v>
      </c>
      <c r="I179" s="11"/>
    </row>
    <row r="180" spans="1:9" x14ac:dyDescent="0.25">
      <c r="A180" s="51"/>
      <c r="B180" s="60"/>
      <c r="C180" s="51"/>
      <c r="D180" s="54"/>
      <c r="E180" s="51"/>
      <c r="F180" s="11"/>
      <c r="H180" s="51"/>
      <c r="I180" s="11"/>
    </row>
    <row r="181" spans="1:9" s="2" customFormat="1" x14ac:dyDescent="0.25">
      <c r="A181" s="55"/>
      <c r="B181" s="69" t="s">
        <v>217</v>
      </c>
      <c r="C181" s="55"/>
      <c r="D181" s="98">
        <v>2605</v>
      </c>
      <c r="F181" s="12"/>
      <c r="I181" s="12"/>
    </row>
    <row r="182" spans="1:9" x14ac:dyDescent="0.25">
      <c r="A182" s="51"/>
      <c r="B182" s="60"/>
      <c r="C182" s="51"/>
      <c r="D182" s="54"/>
      <c r="E182" s="51"/>
      <c r="F182" s="11"/>
      <c r="H182" s="51"/>
      <c r="I182" s="11"/>
    </row>
    <row r="183" spans="1:9" s="2" customFormat="1" x14ac:dyDescent="0.25">
      <c r="A183" s="55"/>
      <c r="B183" s="69" t="s">
        <v>164</v>
      </c>
      <c r="C183" s="55"/>
      <c r="D183" s="98">
        <v>2610</v>
      </c>
      <c r="F183" s="12"/>
      <c r="I183" s="12"/>
    </row>
    <row r="184" spans="1:9" x14ac:dyDescent="0.25">
      <c r="A184" s="51"/>
      <c r="B184" s="60"/>
      <c r="C184" s="51"/>
      <c r="D184" s="54"/>
      <c r="E184" s="51"/>
      <c r="F184" s="11"/>
      <c r="H184" s="51"/>
      <c r="I184" s="11"/>
    </row>
    <row r="185" spans="1:9" ht="15" x14ac:dyDescent="0.3">
      <c r="A185" s="51"/>
      <c r="B185" s="94" t="s">
        <v>208</v>
      </c>
      <c r="C185" s="94"/>
      <c r="D185" s="75"/>
      <c r="E185" s="37">
        <f>SUM(E147:E184)</f>
        <v>109000</v>
      </c>
      <c r="F185" s="11"/>
      <c r="H185" s="37">
        <f>SUM(H147:H184)</f>
        <v>109000</v>
      </c>
      <c r="I185" s="11"/>
    </row>
    <row r="186" spans="1:9" s="2" customFormat="1" ht="15.5" thickBot="1" x14ac:dyDescent="0.35">
      <c r="A186" s="55"/>
      <c r="B186" s="91" t="s">
        <v>190</v>
      </c>
      <c r="C186" s="91"/>
      <c r="D186" s="92"/>
      <c r="E186" s="93">
        <f>+E56+E78+E86+E92+E98++E143+E185</f>
        <v>609575</v>
      </c>
      <c r="F186" s="12"/>
      <c r="H186" s="93">
        <f>+H56+H78+H86+H92+H98++H143+H185</f>
        <v>676200</v>
      </c>
      <c r="I186" s="12"/>
    </row>
    <row r="187" spans="1:9" ht="14" thickTop="1" x14ac:dyDescent="0.25">
      <c r="A187" s="51"/>
      <c r="B187" s="60"/>
      <c r="C187" s="51"/>
      <c r="D187" s="54"/>
      <c r="E187" s="51"/>
      <c r="F187" s="11"/>
      <c r="H187" s="51"/>
      <c r="I187" s="11"/>
    </row>
  </sheetData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26D9-3D3B-4F0F-8AC8-33ED6FF45E1B}">
  <dimension ref="A1:K28"/>
  <sheetViews>
    <sheetView workbookViewId="0">
      <selection activeCell="E31" sqref="E31"/>
    </sheetView>
  </sheetViews>
  <sheetFormatPr defaultRowHeight="14.5" x14ac:dyDescent="0.35"/>
  <cols>
    <col min="4" max="4" width="6.90625" customWidth="1"/>
    <col min="5" max="5" width="35.1796875" customWidth="1"/>
    <col min="6" max="6" width="15.7265625" customWidth="1"/>
    <col min="7" max="7" width="4.1796875" customWidth="1"/>
    <col min="8" max="8" width="14.81640625" customWidth="1"/>
    <col min="9" max="9" width="16.90625" customWidth="1"/>
  </cols>
  <sheetData>
    <row r="1" spans="1:11" x14ac:dyDescent="0.3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3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3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3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7.5" x14ac:dyDescent="0.35">
      <c r="A5" s="102"/>
      <c r="B5" s="102"/>
      <c r="C5" s="44"/>
      <c r="D5" s="81" t="s">
        <v>51</v>
      </c>
      <c r="E5" s="81"/>
      <c r="F5" s="96" t="s">
        <v>220</v>
      </c>
      <c r="G5" s="44"/>
      <c r="H5" s="96" t="s">
        <v>221</v>
      </c>
      <c r="I5" s="44"/>
      <c r="J5" s="102"/>
      <c r="K5" s="102"/>
    </row>
    <row r="6" spans="1:11" x14ac:dyDescent="0.35">
      <c r="A6" s="102"/>
      <c r="B6" s="102"/>
      <c r="C6" s="44"/>
      <c r="D6" s="42"/>
      <c r="E6" s="43" t="str">
        <f>"Stævnegebyr (DKK "&amp;Indtægter!H6&amp;") - "&amp;Indtægter!D5&amp;" både"</f>
        <v>Stævnegebyr (DKK ) - 100 både</v>
      </c>
      <c r="F6" s="46">
        <f>+Indtægter!D7</f>
        <v>300000</v>
      </c>
      <c r="G6" s="44"/>
      <c r="H6" s="46">
        <f>+Indtægter!G7</f>
        <v>390000</v>
      </c>
      <c r="I6" s="43" t="str">
        <f>+Indtægter!G5&amp;" både"</f>
        <v>130 både</v>
      </c>
      <c r="J6" s="102"/>
      <c r="K6" s="102"/>
    </row>
    <row r="7" spans="1:11" x14ac:dyDescent="0.35">
      <c r="A7" s="102"/>
      <c r="B7" s="102"/>
      <c r="C7" s="44"/>
      <c r="D7" s="42"/>
      <c r="E7" s="43" t="str">
        <f>"Stævnegebyr (DKK "&amp;Indtægter!H7&amp;") - "&amp;Indtægter!D9&amp;" Supportbåde"</f>
        <v>Stævnegebyr (DKK ) - 25 Supportbåde</v>
      </c>
      <c r="F7" s="46">
        <f>+Indtægter!D11</f>
        <v>12500</v>
      </c>
      <c r="G7" s="44"/>
      <c r="H7" s="46">
        <f>+Indtægter!G11</f>
        <v>15000</v>
      </c>
      <c r="I7" s="43" t="str">
        <f>+Indtægter!G9&amp;" supportbåde"</f>
        <v>30 supportbåde</v>
      </c>
      <c r="J7" s="102"/>
      <c r="K7" s="102"/>
    </row>
    <row r="8" spans="1:11" x14ac:dyDescent="0.35">
      <c r="A8" s="102"/>
      <c r="B8" s="102"/>
      <c r="C8" s="44"/>
      <c r="D8" s="42"/>
      <c r="E8" s="43" t="s">
        <v>210</v>
      </c>
      <c r="F8" s="46">
        <f>+Indtægter!D40</f>
        <v>45000</v>
      </c>
      <c r="G8" s="44"/>
      <c r="H8" s="46">
        <f>+Indtægter!G40</f>
        <v>49125</v>
      </c>
      <c r="I8" s="44"/>
      <c r="J8" s="102"/>
      <c r="K8" s="102"/>
    </row>
    <row r="9" spans="1:11" x14ac:dyDescent="0.35">
      <c r="A9" s="102"/>
      <c r="B9" s="102"/>
      <c r="C9" s="44"/>
      <c r="D9" s="42"/>
      <c r="E9" s="43" t="s">
        <v>204</v>
      </c>
      <c r="F9" s="46">
        <f>+Indtægter!D53</f>
        <v>48000</v>
      </c>
      <c r="G9" s="44"/>
      <c r="H9" s="46">
        <f>+Indtægter!G53</f>
        <v>36000</v>
      </c>
      <c r="I9" s="44"/>
      <c r="J9" s="102"/>
      <c r="K9" s="102"/>
    </row>
    <row r="10" spans="1:11" x14ac:dyDescent="0.35">
      <c r="A10" s="102"/>
      <c r="B10" s="102"/>
      <c r="C10" s="44"/>
      <c r="D10" s="42"/>
      <c r="E10" s="43" t="s">
        <v>211</v>
      </c>
      <c r="F10" s="46">
        <f>+Indtægter!D72+Indtægter!D74+Indtægter!D76</f>
        <v>130000</v>
      </c>
      <c r="G10" s="44"/>
      <c r="H10" s="46">
        <f>+Indtægter!G72+Indtægter!G74+Indtægter!G76</f>
        <v>140000</v>
      </c>
      <c r="I10" s="44"/>
      <c r="J10" s="102"/>
      <c r="K10" s="102"/>
    </row>
    <row r="11" spans="1:11" x14ac:dyDescent="0.35">
      <c r="A11" s="102"/>
      <c r="B11" s="102"/>
      <c r="C11" s="44"/>
      <c r="D11" s="42"/>
      <c r="E11" s="43" t="s">
        <v>203</v>
      </c>
      <c r="F11" s="46">
        <f>+Indtægter!D81+Indtægter!D78</f>
        <v>4000</v>
      </c>
      <c r="G11" s="44"/>
      <c r="H11" s="46">
        <f>+Indtægter!G81+Indtægter!G78</f>
        <v>2400</v>
      </c>
      <c r="I11" s="44"/>
      <c r="J11" s="102"/>
      <c r="K11" s="102"/>
    </row>
    <row r="12" spans="1:11" x14ac:dyDescent="0.35">
      <c r="A12" s="102"/>
      <c r="B12" s="102"/>
      <c r="C12" s="44"/>
      <c r="D12" s="44"/>
      <c r="E12" s="47" t="s">
        <v>53</v>
      </c>
      <c r="F12" s="48">
        <f>SUM(F6:F11)</f>
        <v>539500</v>
      </c>
      <c r="G12" s="44"/>
      <c r="H12" s="48">
        <f>SUM(H6:H11)</f>
        <v>632525</v>
      </c>
      <c r="I12" s="44"/>
      <c r="J12" s="102"/>
      <c r="K12" s="102"/>
    </row>
    <row r="13" spans="1:11" x14ac:dyDescent="0.35">
      <c r="A13" s="102"/>
      <c r="B13" s="102"/>
      <c r="C13" s="44"/>
      <c r="D13" s="44"/>
      <c r="E13" s="44"/>
      <c r="F13" s="44"/>
      <c r="G13" s="44"/>
      <c r="H13" s="44"/>
      <c r="I13" s="44"/>
      <c r="J13" s="102"/>
      <c r="K13" s="102"/>
    </row>
    <row r="14" spans="1:11" ht="17.5" x14ac:dyDescent="0.35">
      <c r="A14" s="102"/>
      <c r="B14" s="102"/>
      <c r="C14" s="44"/>
      <c r="D14" s="81" t="s">
        <v>205</v>
      </c>
      <c r="E14" s="81"/>
      <c r="F14" s="40"/>
      <c r="G14" s="44"/>
      <c r="H14" s="40"/>
      <c r="I14" s="44"/>
      <c r="J14" s="102"/>
      <c r="K14" s="102"/>
    </row>
    <row r="15" spans="1:11" x14ac:dyDescent="0.35">
      <c r="A15" s="102"/>
      <c r="B15" s="102"/>
      <c r="C15" s="44"/>
      <c r="D15" s="45"/>
      <c r="E15" s="43" t="s">
        <v>202</v>
      </c>
      <c r="F15" s="46">
        <f>+Omkostninger!E86</f>
        <v>40000</v>
      </c>
      <c r="G15" s="44"/>
      <c r="H15" s="46">
        <f>+Omkostninger!H86</f>
        <v>40000</v>
      </c>
      <c r="I15" s="44"/>
      <c r="J15" s="102"/>
      <c r="K15" s="102"/>
    </row>
    <row r="16" spans="1:11" x14ac:dyDescent="0.35">
      <c r="A16" s="102"/>
      <c r="B16" s="102"/>
      <c r="C16" s="44"/>
      <c r="D16" s="45"/>
      <c r="E16" s="43" t="s">
        <v>206</v>
      </c>
      <c r="F16" s="46">
        <f>+Omkostninger!E56</f>
        <v>273725</v>
      </c>
      <c r="G16" s="44"/>
      <c r="H16" s="46">
        <f>+Omkostninger!H56</f>
        <v>341850</v>
      </c>
      <c r="I16" s="44"/>
      <c r="J16" s="102"/>
      <c r="K16" s="102"/>
    </row>
    <row r="17" spans="1:11" x14ac:dyDescent="0.35">
      <c r="A17" s="102"/>
      <c r="B17" s="102"/>
      <c r="C17" s="44"/>
      <c r="D17" s="45"/>
      <c r="E17" s="43" t="s">
        <v>79</v>
      </c>
      <c r="F17" s="46">
        <f>+Budgetoversigt!E42-Budgetoversigt!E34-F15</f>
        <v>266850</v>
      </c>
      <c r="G17" s="44"/>
      <c r="H17" s="46">
        <f>+Budgetoversigt!H42-Budgetoversigt!H34-H15</f>
        <v>265350</v>
      </c>
      <c r="I17" s="44"/>
      <c r="J17" s="102"/>
      <c r="K17" s="102"/>
    </row>
    <row r="18" spans="1:11" x14ac:dyDescent="0.35">
      <c r="A18" s="102"/>
      <c r="B18" s="102"/>
      <c r="C18" s="44"/>
      <c r="D18" s="45"/>
      <c r="E18" s="43" t="s">
        <v>207</v>
      </c>
      <c r="F18" s="46">
        <f>+Budgetoversigt!E43</f>
        <v>10000</v>
      </c>
      <c r="G18" s="44"/>
      <c r="H18" s="46">
        <f>+Budgetoversigt!H43</f>
        <v>10000</v>
      </c>
      <c r="I18" s="44"/>
      <c r="J18" s="102"/>
      <c r="K18" s="102"/>
    </row>
    <row r="19" spans="1:11" x14ac:dyDescent="0.35">
      <c r="A19" s="102"/>
      <c r="B19" s="102"/>
      <c r="C19" s="44"/>
      <c r="D19" s="45"/>
      <c r="E19" s="43" t="s">
        <v>208</v>
      </c>
      <c r="F19" s="46">
        <f>+Budgetoversigt!E54+Budgetoversigt!E59</f>
        <v>19000</v>
      </c>
      <c r="G19" s="44"/>
      <c r="H19" s="46">
        <f>+Budgetoversigt!H54+Budgetoversigt!H59</f>
        <v>19000</v>
      </c>
      <c r="I19" s="44"/>
      <c r="J19" s="102"/>
      <c r="K19" s="102"/>
    </row>
    <row r="20" spans="1:11" x14ac:dyDescent="0.35">
      <c r="A20" s="102"/>
      <c r="B20" s="102"/>
      <c r="C20" s="44"/>
      <c r="D20" s="45"/>
      <c r="E20" s="47" t="s">
        <v>190</v>
      </c>
      <c r="F20" s="48">
        <f>SUM(F15:F19)</f>
        <v>609575</v>
      </c>
      <c r="G20" s="44"/>
      <c r="H20" s="48">
        <f>SUM(H15:H19)</f>
        <v>676200</v>
      </c>
      <c r="I20" s="44"/>
      <c r="J20" s="102"/>
      <c r="K20" s="102"/>
    </row>
    <row r="21" spans="1:11" x14ac:dyDescent="0.35">
      <c r="A21" s="102"/>
      <c r="B21" s="102"/>
      <c r="C21" s="44"/>
      <c r="D21" s="44"/>
      <c r="E21" s="41"/>
      <c r="F21" s="41"/>
      <c r="G21" s="44"/>
      <c r="H21" s="41"/>
      <c r="I21" s="44"/>
      <c r="J21" s="102"/>
      <c r="K21" s="102"/>
    </row>
    <row r="22" spans="1:11" ht="18" thickBot="1" x14ac:dyDescent="0.4">
      <c r="A22" s="102"/>
      <c r="B22" s="102"/>
      <c r="C22" s="44"/>
      <c r="D22" s="82" t="s">
        <v>209</v>
      </c>
      <c r="E22" s="82"/>
      <c r="F22" s="49">
        <f>+F12-F20</f>
        <v>-70075</v>
      </c>
      <c r="G22" s="44"/>
      <c r="H22" s="49">
        <f>+H12-H20</f>
        <v>-43675</v>
      </c>
      <c r="I22" s="44"/>
      <c r="J22" s="102"/>
      <c r="K22" s="102"/>
    </row>
    <row r="23" spans="1:11" ht="15" thickTop="1" x14ac:dyDescent="0.35">
      <c r="A23" s="102"/>
      <c r="B23" s="102"/>
      <c r="C23" s="44"/>
      <c r="D23" s="44"/>
      <c r="E23" s="44"/>
      <c r="F23" s="44"/>
      <c r="G23" s="44"/>
      <c r="H23" s="44"/>
      <c r="I23" s="44"/>
      <c r="J23" s="102"/>
      <c r="K23" s="102"/>
    </row>
    <row r="24" spans="1:11" x14ac:dyDescent="0.35">
      <c r="A24" s="102"/>
      <c r="B24" s="102"/>
      <c r="C24" s="44"/>
      <c r="D24" s="44"/>
      <c r="E24" s="44"/>
      <c r="F24" s="44"/>
      <c r="G24" s="44"/>
      <c r="H24" s="44"/>
      <c r="I24" s="44"/>
      <c r="J24" s="102"/>
      <c r="K24" s="102"/>
    </row>
    <row r="25" spans="1:11" x14ac:dyDescent="0.3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</row>
    <row r="26" spans="1:11" x14ac:dyDescent="0.3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</row>
    <row r="27" spans="1:11" x14ac:dyDescent="0.3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1" x14ac:dyDescent="0.3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</row>
  </sheetData>
  <mergeCells count="3">
    <mergeCell ref="D5:E5"/>
    <mergeCell ref="D14:E14"/>
    <mergeCell ref="D22:E22"/>
  </mergeCells>
  <conditionalFormatting sqref="F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Budgetoversigt</vt:lpstr>
      <vt:lpstr>Indtægter</vt:lpstr>
      <vt:lpstr>Omkostninger</vt:lpstr>
      <vt:lpstr>Overview</vt:lpstr>
      <vt:lpstr>Omkostninger!Udskriftsområde</vt:lpstr>
      <vt:lpstr>Budgetoversigt!Udskriftstitler</vt:lpstr>
      <vt:lpstr>Indtægter!Udskriftstitler</vt:lpstr>
      <vt:lpstr>Omkostninger!Udskriftstitler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H. Madsen</dc:creator>
  <cp:lastModifiedBy>Peter Falck</cp:lastModifiedBy>
  <cp:lastPrinted>2017-03-07T15:00:30Z</cp:lastPrinted>
  <dcterms:created xsi:type="dcterms:W3CDTF">2017-02-12T16:18:28Z</dcterms:created>
  <dcterms:modified xsi:type="dcterms:W3CDTF">2023-11-27T21:10:06Z</dcterms:modified>
</cp:coreProperties>
</file>